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E:\Studium\PC Praktikum\A02\"/>
    </mc:Choice>
  </mc:AlternateContent>
  <xr:revisionPtr revIDLastSave="0" documentId="13_ncr:1_{EA7F95A4-C9D3-4981-8F31-5F3267C2F2E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6" i="1" l="1"/>
  <c r="R21" i="1"/>
  <c r="T18" i="1"/>
  <c r="T15" i="1"/>
  <c r="Q9" i="1"/>
  <c r="J33" i="1"/>
  <c r="K33" i="1" s="1"/>
  <c r="F33" i="1"/>
  <c r="G33" i="1" s="1"/>
  <c r="J32" i="1"/>
  <c r="K32" i="1" s="1"/>
  <c r="F32" i="1"/>
  <c r="G32" i="1" s="1"/>
  <c r="J31" i="1"/>
  <c r="K31" i="1" s="1"/>
  <c r="F31" i="1"/>
  <c r="G31" i="1" s="1"/>
  <c r="J30" i="1"/>
  <c r="K30" i="1" s="1"/>
  <c r="F30" i="1"/>
  <c r="G30" i="1" s="1"/>
  <c r="J29" i="1"/>
  <c r="K29" i="1" s="1"/>
  <c r="F29" i="1"/>
  <c r="G29" i="1" s="1"/>
  <c r="J28" i="1"/>
  <c r="K28" i="1" s="1"/>
  <c r="F28" i="1"/>
  <c r="G28" i="1" s="1"/>
  <c r="M28" i="1" l="1"/>
  <c r="N28" i="1" s="1"/>
  <c r="F14" i="1"/>
  <c r="G14" i="1" s="1"/>
  <c r="F15" i="1"/>
  <c r="G15" i="1" s="1"/>
  <c r="F16" i="1"/>
  <c r="G16" i="1" s="1"/>
  <c r="F17" i="1"/>
  <c r="G17" i="1" s="1"/>
  <c r="F18" i="1"/>
  <c r="G18" i="1" s="1"/>
  <c r="F13" i="1"/>
  <c r="G13" i="1" s="1"/>
  <c r="J14" i="1"/>
  <c r="K14" i="1" s="1"/>
  <c r="J15" i="1"/>
  <c r="K15" i="1" s="1"/>
  <c r="J16" i="1"/>
  <c r="K16" i="1" s="1"/>
  <c r="J17" i="1"/>
  <c r="K17" i="1" s="1"/>
  <c r="J18" i="1"/>
  <c r="K18" i="1" s="1"/>
  <c r="J13" i="1"/>
  <c r="K13" i="1" s="1"/>
  <c r="Q10" i="1"/>
  <c r="M30" i="1" s="1"/>
  <c r="N30" i="1" s="1"/>
  <c r="O9" i="1"/>
  <c r="O10" i="1" s="1"/>
  <c r="G21" i="1" l="1"/>
  <c r="G22" i="1" s="1"/>
  <c r="G20" i="1"/>
  <c r="K21" i="1"/>
  <c r="K22" i="1" s="1"/>
  <c r="K20" i="1"/>
  <c r="M29" i="1"/>
  <c r="N29" i="1" s="1"/>
  <c r="M33" i="1"/>
  <c r="N33" i="1" s="1"/>
  <c r="M32" i="1"/>
  <c r="N32" i="1" s="1"/>
  <c r="M31" i="1"/>
  <c r="N31" i="1" s="1"/>
  <c r="N35" i="1" s="1"/>
  <c r="M17" i="1"/>
  <c r="N17" i="1" s="1"/>
  <c r="M13" i="1"/>
  <c r="N13" i="1" s="1"/>
  <c r="M18" i="1"/>
  <c r="N18" i="1" s="1"/>
  <c r="M16" i="1"/>
  <c r="N16" i="1" s="1"/>
  <c r="M15" i="1"/>
  <c r="N15" i="1" s="1"/>
  <c r="M14" i="1"/>
  <c r="N14" i="1" s="1"/>
  <c r="N36" i="1" l="1"/>
  <c r="N37" i="1" s="1"/>
  <c r="N20" i="1"/>
  <c r="O15" i="1" s="1"/>
  <c r="O17" i="1" l="1"/>
  <c r="O16" i="1"/>
  <c r="O13" i="1"/>
  <c r="O14" i="1"/>
  <c r="O18" i="1"/>
  <c r="P13" i="1" l="1"/>
  <c r="N21" i="1" s="1"/>
  <c r="N22" i="1" s="1"/>
</calcChain>
</file>

<file path=xl/sharedStrings.xml><?xml version="1.0" encoding="utf-8"?>
<sst xmlns="http://schemas.openxmlformats.org/spreadsheetml/2006/main" count="81" uniqueCount="43">
  <si>
    <t>Raumtemp.</t>
  </si>
  <si>
    <t>mbar</t>
  </si>
  <si>
    <t>Pa</t>
  </si>
  <si>
    <t>Raumdruck</t>
  </si>
  <si>
    <t>°C</t>
  </si>
  <si>
    <t>K</t>
  </si>
  <si>
    <t>Messung</t>
  </si>
  <si>
    <t>Ethanol</t>
  </si>
  <si>
    <t>m(leer)</t>
  </si>
  <si>
    <t>m(voll)</t>
  </si>
  <si>
    <t>V(Anfang)</t>
  </si>
  <si>
    <t>V(Ende)</t>
  </si>
  <si>
    <t>ΔV</t>
  </si>
  <si>
    <t>m(Flüssi.)</t>
  </si>
  <si>
    <t>g</t>
  </si>
  <si>
    <t>[g]</t>
  </si>
  <si>
    <t>[ml]</t>
  </si>
  <si>
    <t>=</t>
  </si>
  <si>
    <t>(mRT)/(pv)</t>
  </si>
  <si>
    <t>allg. Gaskonstante</t>
  </si>
  <si>
    <t>J/mol*K</t>
  </si>
  <si>
    <t>M</t>
  </si>
  <si>
    <t>[g/mol]</t>
  </si>
  <si>
    <t>[kg/mol]</t>
  </si>
  <si>
    <t>[kg]</t>
  </si>
  <si>
    <t>[m³]</t>
  </si>
  <si>
    <t>Mittelwert</t>
  </si>
  <si>
    <t>Std.abw.</t>
  </si>
  <si>
    <t>±</t>
  </si>
  <si>
    <r>
      <t xml:space="preserve">Molare Masse </t>
    </r>
    <r>
      <rPr>
        <b/>
        <i/>
        <sz val="11"/>
        <color theme="1"/>
        <rFont val="Calibri"/>
        <family val="2"/>
        <scheme val="minor"/>
      </rPr>
      <t>M</t>
    </r>
  </si>
  <si>
    <t>Fehler der Bürette</t>
  </si>
  <si>
    <t>A02 Molare Masse einer leicht verdampfbaren Flüssigkeit</t>
  </si>
  <si>
    <t>m(Schale 12)</t>
  </si>
  <si>
    <t>Cyclohex.</t>
  </si>
  <si>
    <t>M(Cyclohexan) = 84,16 g/mol</t>
  </si>
  <si>
    <t>M(Ethanol) = 46,07 g/mol</t>
  </si>
  <si>
    <r>
      <rPr>
        <b/>
        <i/>
        <sz val="11"/>
        <color theme="1"/>
        <rFont val="Calibri"/>
        <family val="2"/>
        <scheme val="minor"/>
      </rPr>
      <t>M</t>
    </r>
    <r>
      <rPr>
        <b/>
        <sz val="11"/>
        <color theme="1"/>
        <rFont val="Calibri"/>
        <family val="2"/>
        <scheme val="minor"/>
      </rPr>
      <t>-Mittelwert(</t>
    </r>
    <r>
      <rPr>
        <b/>
        <i/>
        <sz val="11"/>
        <color theme="1"/>
        <rFont val="Calibri"/>
        <family val="2"/>
        <scheme val="minor"/>
      </rPr>
      <t>M</t>
    </r>
    <r>
      <rPr>
        <b/>
        <sz val="11"/>
        <color theme="1"/>
        <rFont val="Calibri"/>
        <family val="2"/>
        <scheme val="minor"/>
      </rPr>
      <t>)</t>
    </r>
  </si>
  <si>
    <t xml:space="preserve">Fehler Waage </t>
  </si>
  <si>
    <t>Δa =</t>
  </si>
  <si>
    <t>Δb =</t>
  </si>
  <si>
    <t>kg</t>
  </si>
  <si>
    <t>m³</t>
  </si>
  <si>
    <t>Abweichung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</si>
</sst>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3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10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X37"/>
  <sheetViews>
    <sheetView tabSelected="1" topLeftCell="A4" workbookViewId="0">
      <selection activeCell="F13" sqref="F13"/>
    </sheetView>
  </sheetViews>
  <sheetFormatPr baseColWidth="10" defaultColWidth="9.140625" defaultRowHeight="15" x14ac:dyDescent="0.25"/>
  <cols>
    <col min="8" max="8" width="10" customWidth="1"/>
    <col min="10" max="10" width="10" bestFit="1" customWidth="1"/>
    <col min="11" max="12" width="12" bestFit="1" customWidth="1"/>
    <col min="13" max="13" width="11.42578125" customWidth="1"/>
    <col min="15" max="15" width="16.5703125" customWidth="1"/>
    <col min="20" max="20" width="11" bestFit="1" customWidth="1"/>
  </cols>
  <sheetData>
    <row r="4" spans="3:22" ht="39" x14ac:dyDescent="0.6">
      <c r="C4" s="1" t="s">
        <v>31</v>
      </c>
    </row>
    <row r="8" spans="3:22" x14ac:dyDescent="0.25">
      <c r="J8" s="2" t="s">
        <v>29</v>
      </c>
      <c r="K8" s="2"/>
      <c r="L8" s="2" t="s">
        <v>17</v>
      </c>
      <c r="M8" s="2" t="s">
        <v>18</v>
      </c>
      <c r="O8" s="2" t="s">
        <v>3</v>
      </c>
      <c r="P8" s="2"/>
      <c r="Q8" s="2" t="s">
        <v>0</v>
      </c>
      <c r="R8" s="2"/>
      <c r="S8" s="2" t="s">
        <v>32</v>
      </c>
      <c r="T8" s="2"/>
      <c r="U8" s="2" t="s">
        <v>19</v>
      </c>
      <c r="V8" s="2"/>
    </row>
    <row r="9" spans="3:22" x14ac:dyDescent="0.25">
      <c r="O9">
        <f>AVERAGE(994.34,993.77)</f>
        <v>994.05500000000006</v>
      </c>
      <c r="P9" t="s">
        <v>1</v>
      </c>
      <c r="Q9">
        <f>AVERAGE(19.1,19.5)</f>
        <v>19.3</v>
      </c>
      <c r="R9" t="s">
        <v>4</v>
      </c>
      <c r="S9">
        <v>2.4275000000000002</v>
      </c>
      <c r="T9" t="s">
        <v>14</v>
      </c>
      <c r="U9">
        <v>8.3140000000000001</v>
      </c>
      <c r="V9" t="s">
        <v>20</v>
      </c>
    </row>
    <row r="10" spans="3:22" x14ac:dyDescent="0.25">
      <c r="O10">
        <f>O9*100</f>
        <v>99405.5</v>
      </c>
      <c r="P10" t="s">
        <v>2</v>
      </c>
      <c r="Q10">
        <f>273.15+Q9</f>
        <v>292.45</v>
      </c>
      <c r="R10" t="s">
        <v>5</v>
      </c>
    </row>
    <row r="11" spans="3:22" x14ac:dyDescent="0.25">
      <c r="C11" s="2" t="s">
        <v>7</v>
      </c>
      <c r="D11" s="2" t="s">
        <v>15</v>
      </c>
      <c r="E11" s="2" t="s">
        <v>15</v>
      </c>
      <c r="F11" s="2" t="s">
        <v>15</v>
      </c>
      <c r="G11" s="2" t="s">
        <v>24</v>
      </c>
      <c r="H11" s="2" t="s">
        <v>16</v>
      </c>
      <c r="I11" s="2" t="s">
        <v>16</v>
      </c>
      <c r="J11" s="2" t="s">
        <v>16</v>
      </c>
      <c r="K11" s="2" t="s">
        <v>25</v>
      </c>
      <c r="M11" s="2" t="s">
        <v>23</v>
      </c>
      <c r="N11" s="2" t="s">
        <v>22</v>
      </c>
    </row>
    <row r="12" spans="3:22" x14ac:dyDescent="0.25">
      <c r="C12" s="2" t="s">
        <v>6</v>
      </c>
      <c r="D12" s="2" t="s">
        <v>8</v>
      </c>
      <c r="E12" s="2" t="s">
        <v>9</v>
      </c>
      <c r="F12" s="2" t="s">
        <v>13</v>
      </c>
      <c r="G12" s="2" t="s">
        <v>13</v>
      </c>
      <c r="H12" s="2" t="s">
        <v>10</v>
      </c>
      <c r="I12" s="2" t="s">
        <v>11</v>
      </c>
      <c r="J12" s="2" t="s">
        <v>12</v>
      </c>
      <c r="K12" s="2" t="s">
        <v>12</v>
      </c>
      <c r="M12" s="3" t="s">
        <v>21</v>
      </c>
      <c r="N12" s="3" t="s">
        <v>21</v>
      </c>
      <c r="O12" s="2" t="s">
        <v>36</v>
      </c>
    </row>
    <row r="13" spans="3:22" x14ac:dyDescent="0.25">
      <c r="C13">
        <v>1</v>
      </c>
      <c r="D13">
        <v>2.6726999999999999</v>
      </c>
      <c r="E13">
        <v>2.7122000000000002</v>
      </c>
      <c r="F13">
        <f>(E13-$S$9)-(D13-$S$9)</f>
        <v>3.9500000000000313E-2</v>
      </c>
      <c r="G13">
        <f>F13/1000</f>
        <v>3.950000000000031E-5</v>
      </c>
      <c r="H13">
        <v>1</v>
      </c>
      <c r="I13">
        <v>22.8</v>
      </c>
      <c r="J13">
        <f>I13-H13</f>
        <v>21.8</v>
      </c>
      <c r="K13">
        <f>J13/1000000</f>
        <v>2.1800000000000001E-5</v>
      </c>
      <c r="M13">
        <f>(G13*$U$9*$Q$10)/($O$10*K13)</f>
        <v>4.4319191977037771E-2</v>
      </c>
      <c r="N13">
        <f>M13*1000</f>
        <v>44.319191977037768</v>
      </c>
      <c r="O13">
        <f>N13-$N$20</f>
        <v>-11.087322766966373</v>
      </c>
      <c r="P13">
        <f>SQRT(((O13^2)+(O14^2)+(O15^2)+(O16^2)+(O17^2)+(O18^2))/5)</f>
        <v>11.364051728063284</v>
      </c>
    </row>
    <row r="14" spans="3:22" x14ac:dyDescent="0.25">
      <c r="C14">
        <v>2</v>
      </c>
      <c r="D14">
        <v>2.6589</v>
      </c>
      <c r="E14">
        <v>2.7233000000000001</v>
      </c>
      <c r="F14">
        <f t="shared" ref="F14:F18" si="0">(E14-$S$9)-(D14-$S$9)</f>
        <v>6.4400000000000013E-2</v>
      </c>
      <c r="G14">
        <f>F14/1000</f>
        <v>6.4400000000000007E-5</v>
      </c>
      <c r="H14">
        <v>1.4</v>
      </c>
      <c r="I14">
        <v>37.4</v>
      </c>
      <c r="J14">
        <f t="shared" ref="J14:J18" si="1">I14-H14</f>
        <v>36</v>
      </c>
      <c r="K14">
        <f t="shared" ref="K14:K18" si="2">J14/1000000</f>
        <v>3.6000000000000001E-5</v>
      </c>
      <c r="M14">
        <f>(G14*$U$9*$Q$10)/($O$10*K14)</f>
        <v>4.375569620281463E-2</v>
      </c>
      <c r="N14">
        <f t="shared" ref="N14:N18" si="3">M14*1000</f>
        <v>43.755696202814633</v>
      </c>
      <c r="O14">
        <f t="shared" ref="O14:O18" si="4">N14-$N$20</f>
        <v>-11.650818541189508</v>
      </c>
      <c r="T14" s="2" t="s">
        <v>30</v>
      </c>
    </row>
    <row r="15" spans="3:22" x14ac:dyDescent="0.25">
      <c r="C15">
        <v>3</v>
      </c>
      <c r="D15">
        <v>2.6913</v>
      </c>
      <c r="E15">
        <v>2.7427999999999999</v>
      </c>
      <c r="F15">
        <f t="shared" si="0"/>
        <v>5.1499999999999879E-2</v>
      </c>
      <c r="G15">
        <f>F15/1000</f>
        <v>5.1499999999999876E-5</v>
      </c>
      <c r="H15">
        <v>1.9</v>
      </c>
      <c r="I15">
        <v>22.9</v>
      </c>
      <c r="J15">
        <f t="shared" si="1"/>
        <v>21</v>
      </c>
      <c r="K15">
        <f t="shared" si="2"/>
        <v>2.0999999999999999E-5</v>
      </c>
      <c r="M15">
        <f>(G15*$U$9*$Q$10)/($O$10*K15)</f>
        <v>5.9984516977239069E-2</v>
      </c>
      <c r="N15">
        <f t="shared" si="3"/>
        <v>59.984516977239068</v>
      </c>
      <c r="O15">
        <f t="shared" si="4"/>
        <v>4.5780022332349262</v>
      </c>
      <c r="S15" s="2" t="s">
        <v>38</v>
      </c>
      <c r="T15">
        <f>0.05/1000000</f>
        <v>5.0000000000000004E-8</v>
      </c>
      <c r="U15" t="s">
        <v>41</v>
      </c>
    </row>
    <row r="16" spans="3:22" x14ac:dyDescent="0.25">
      <c r="C16">
        <v>4</v>
      </c>
      <c r="D16">
        <v>2.6537999999999999</v>
      </c>
      <c r="E16">
        <v>2.7016</v>
      </c>
      <c r="F16">
        <f t="shared" si="0"/>
        <v>4.7800000000000065E-2</v>
      </c>
      <c r="G16">
        <f>F16/1000</f>
        <v>4.7800000000000064E-5</v>
      </c>
      <c r="H16">
        <v>2.8</v>
      </c>
      <c r="I16">
        <v>23.5</v>
      </c>
      <c r="J16">
        <f t="shared" si="1"/>
        <v>20.7</v>
      </c>
      <c r="K16">
        <f t="shared" si="2"/>
        <v>2.0699999999999998E-5</v>
      </c>
      <c r="M16">
        <f>(G16*$U$9*$Q$10)/($O$10*K16)</f>
        <v>5.648183306763549E-2</v>
      </c>
      <c r="N16">
        <f t="shared" si="3"/>
        <v>56.481833067635492</v>
      </c>
      <c r="O16">
        <f t="shared" si="4"/>
        <v>1.0753183236313504</v>
      </c>
    </row>
    <row r="17" spans="3:24" x14ac:dyDescent="0.25">
      <c r="C17">
        <v>5</v>
      </c>
      <c r="D17">
        <v>2.6406999999999998</v>
      </c>
      <c r="E17">
        <v>2.6839</v>
      </c>
      <c r="F17">
        <f t="shared" si="0"/>
        <v>4.3200000000000127E-2</v>
      </c>
      <c r="G17">
        <f>F17/1000</f>
        <v>4.3200000000000128E-5</v>
      </c>
      <c r="H17">
        <v>4.7</v>
      </c>
      <c r="I17">
        <v>18.899999999999999</v>
      </c>
      <c r="J17">
        <f t="shared" si="1"/>
        <v>14.2</v>
      </c>
      <c r="K17">
        <f t="shared" si="2"/>
        <v>1.42E-5</v>
      </c>
      <c r="M17">
        <f>(G17*$U$9*$Q$10)/($O$10*K17)</f>
        <v>7.441262655784435E-2</v>
      </c>
      <c r="N17">
        <f t="shared" si="3"/>
        <v>74.412626557844348</v>
      </c>
      <c r="O17">
        <f t="shared" si="4"/>
        <v>19.006111813840207</v>
      </c>
      <c r="T17" s="2" t="s">
        <v>37</v>
      </c>
    </row>
    <row r="18" spans="3:24" x14ac:dyDescent="0.25">
      <c r="C18">
        <v>6</v>
      </c>
      <c r="D18">
        <v>2.6974999999999998</v>
      </c>
      <c r="E18">
        <v>2.7303000000000002</v>
      </c>
      <c r="F18">
        <f t="shared" si="0"/>
        <v>3.2800000000000384E-2</v>
      </c>
      <c r="G18">
        <f>F18/1000</f>
        <v>3.2800000000000384E-5</v>
      </c>
      <c r="H18">
        <v>0</v>
      </c>
      <c r="I18">
        <v>15</v>
      </c>
      <c r="J18">
        <f t="shared" si="1"/>
        <v>15</v>
      </c>
      <c r="K18">
        <f t="shared" si="2"/>
        <v>1.5E-5</v>
      </c>
      <c r="M18">
        <f>(G18*$U$9*$Q$10)/($O$10*K18)</f>
        <v>5.3485223681453531E-2</v>
      </c>
      <c r="N18">
        <f t="shared" si="3"/>
        <v>53.485223681453533</v>
      </c>
      <c r="O18">
        <f t="shared" si="4"/>
        <v>-1.9212910625506083</v>
      </c>
      <c r="S18" s="2" t="s">
        <v>39</v>
      </c>
      <c r="T18">
        <f>0.0001/1000</f>
        <v>1.0000000000000001E-7</v>
      </c>
      <c r="U18" t="s">
        <v>40</v>
      </c>
    </row>
    <row r="20" spans="3:24" x14ac:dyDescent="0.25">
      <c r="F20" s="2" t="s">
        <v>26</v>
      </c>
      <c r="G20">
        <f>AVERAGE(G13:G18)</f>
        <v>4.6533333333333459E-5</v>
      </c>
      <c r="J20" s="2" t="s">
        <v>26</v>
      </c>
      <c r="K20">
        <f>AVERAGE(K13:K18)</f>
        <v>2.1450000000000003E-5</v>
      </c>
      <c r="M20" s="2" t="s">
        <v>26</v>
      </c>
      <c r="N20">
        <f>AVERAGE(N13:N18)</f>
        <v>55.406514744004141</v>
      </c>
    </row>
    <row r="21" spans="3:24" x14ac:dyDescent="0.25">
      <c r="F21" s="2" t="s">
        <v>27</v>
      </c>
      <c r="G21">
        <f>_xlfn.STDEV.S(G13:G18)</f>
        <v>1.090571715508262E-5</v>
      </c>
      <c r="J21" s="2" t="s">
        <v>27</v>
      </c>
      <c r="K21">
        <f>_xlfn.STDEV.S(K13:K18)</f>
        <v>7.8326879166733058E-6</v>
      </c>
      <c r="M21" s="2" t="s">
        <v>27</v>
      </c>
      <c r="N21">
        <f>P13</f>
        <v>11.364051728063284</v>
      </c>
      <c r="P21" s="2" t="s">
        <v>42</v>
      </c>
      <c r="R21" s="5">
        <f>9.33/46.07</f>
        <v>0.20251790753201648</v>
      </c>
    </row>
    <row r="22" spans="3:24" x14ac:dyDescent="0.25">
      <c r="C22" t="s">
        <v>35</v>
      </c>
      <c r="F22" s="4" t="s">
        <v>28</v>
      </c>
      <c r="G22">
        <f>G21/SQRT(6)</f>
        <v>4.4522403848449038E-6</v>
      </c>
      <c r="J22" s="4" t="s">
        <v>28</v>
      </c>
      <c r="K22">
        <f>K21/SQRT(6)</f>
        <v>3.1976814517188341E-6</v>
      </c>
      <c r="M22" s="4" t="s">
        <v>28</v>
      </c>
      <c r="N22">
        <f>N21/SQRT(6)</f>
        <v>4.6393546907247449</v>
      </c>
    </row>
    <row r="25" spans="3:24" x14ac:dyDescent="0.25">
      <c r="Q25" s="2"/>
      <c r="R25" s="2"/>
      <c r="S25" s="2"/>
      <c r="T25" s="2"/>
      <c r="U25" s="2"/>
      <c r="V25" s="2"/>
      <c r="W25" s="2"/>
      <c r="X25" s="2"/>
    </row>
    <row r="26" spans="3:24" x14ac:dyDescent="0.25">
      <c r="C26" s="2" t="s">
        <v>33</v>
      </c>
      <c r="D26" s="2" t="s">
        <v>15</v>
      </c>
      <c r="E26" s="2" t="s">
        <v>15</v>
      </c>
      <c r="F26" s="2" t="s">
        <v>15</v>
      </c>
      <c r="G26" s="2" t="s">
        <v>24</v>
      </c>
      <c r="H26" s="2" t="s">
        <v>16</v>
      </c>
      <c r="I26" s="2" t="s">
        <v>16</v>
      </c>
      <c r="J26" s="2" t="s">
        <v>16</v>
      </c>
      <c r="K26" s="2" t="s">
        <v>25</v>
      </c>
      <c r="M26" s="2" t="s">
        <v>23</v>
      </c>
      <c r="N26" s="2" t="s">
        <v>22</v>
      </c>
    </row>
    <row r="27" spans="3:24" x14ac:dyDescent="0.25">
      <c r="C27" s="2" t="s">
        <v>6</v>
      </c>
      <c r="D27" s="2" t="s">
        <v>8</v>
      </c>
      <c r="E27" s="2" t="s">
        <v>9</v>
      </c>
      <c r="F27" s="2" t="s">
        <v>13</v>
      </c>
      <c r="G27" s="2" t="s">
        <v>13</v>
      </c>
      <c r="H27" s="2" t="s">
        <v>10</v>
      </c>
      <c r="I27" s="2" t="s">
        <v>11</v>
      </c>
      <c r="J27" s="2" t="s">
        <v>12</v>
      </c>
      <c r="K27" s="2" t="s">
        <v>12</v>
      </c>
      <c r="M27" s="3" t="s">
        <v>21</v>
      </c>
      <c r="N27" s="3" t="s">
        <v>21</v>
      </c>
    </row>
    <row r="28" spans="3:24" x14ac:dyDescent="0.25">
      <c r="C28">
        <v>1</v>
      </c>
      <c r="D28">
        <v>2.6124000000000001</v>
      </c>
      <c r="E28">
        <v>2.65</v>
      </c>
      <c r="F28">
        <f>(E28-$S$9)-(D28-$S$9)</f>
        <v>3.7599999999999856E-2</v>
      </c>
      <c r="G28">
        <f>F28/1000</f>
        <v>3.7599999999999857E-5</v>
      </c>
      <c r="H28">
        <v>2.8</v>
      </c>
      <c r="I28">
        <v>13.2</v>
      </c>
      <c r="J28">
        <f>I28-H28</f>
        <v>10.399999999999999</v>
      </c>
      <c r="K28">
        <f>J28/1000000</f>
        <v>1.0399999999999999E-5</v>
      </c>
      <c r="M28">
        <f>(G28*$U$9*$Q$10)/($O$10*K28)</f>
        <v>8.8431244595272421E-2</v>
      </c>
      <c r="N28">
        <f>M28*1000</f>
        <v>88.431244595272418</v>
      </c>
    </row>
    <row r="29" spans="3:24" x14ac:dyDescent="0.25">
      <c r="C29">
        <v>2</v>
      </c>
      <c r="D29">
        <v>2.5910000000000002</v>
      </c>
      <c r="E29">
        <v>2.6153</v>
      </c>
      <c r="F29">
        <f t="shared" ref="F29:F33" si="5">(E29-$S$9)-(D29-$S$9)</f>
        <v>2.4299999999999766E-2</v>
      </c>
      <c r="G29">
        <f t="shared" ref="G29:G33" si="6">F29/1000</f>
        <v>2.4299999999999767E-5</v>
      </c>
      <c r="H29">
        <v>1.6</v>
      </c>
      <c r="I29">
        <v>8.5</v>
      </c>
      <c r="J29">
        <f t="shared" ref="J29:J33" si="7">I29-H29</f>
        <v>6.9</v>
      </c>
      <c r="K29">
        <f t="shared" ref="K29:K33" si="8">J29/1000000</f>
        <v>6.9E-6</v>
      </c>
      <c r="M29">
        <f>(G29*$U$9*$Q$10)/($O$10*K29)</f>
        <v>8.6140703569677443E-2</v>
      </c>
      <c r="N29">
        <f t="shared" ref="N29:N33" si="9">M29*1000</f>
        <v>86.140703569677441</v>
      </c>
    </row>
    <row r="30" spans="3:24" x14ac:dyDescent="0.25">
      <c r="C30">
        <v>3</v>
      </c>
      <c r="D30">
        <v>2.6316999999999999</v>
      </c>
      <c r="E30">
        <v>2.7050000000000001</v>
      </c>
      <c r="F30">
        <f t="shared" si="5"/>
        <v>7.3300000000000143E-2</v>
      </c>
      <c r="G30">
        <f t="shared" si="6"/>
        <v>7.3300000000000142E-5</v>
      </c>
      <c r="H30">
        <v>1.6</v>
      </c>
      <c r="I30">
        <v>23</v>
      </c>
      <c r="J30">
        <f t="shared" si="7"/>
        <v>21.4</v>
      </c>
      <c r="K30">
        <f t="shared" si="8"/>
        <v>2.1399999999999998E-5</v>
      </c>
      <c r="M30">
        <f>(G30*$U$9*$Q$10)/($O$10*K30)</f>
        <v>8.3780207769770881E-2</v>
      </c>
      <c r="N30">
        <f t="shared" si="9"/>
        <v>83.780207769770882</v>
      </c>
    </row>
    <row r="31" spans="3:24" x14ac:dyDescent="0.25">
      <c r="C31">
        <v>4</v>
      </c>
      <c r="D31">
        <v>2.5710999999999999</v>
      </c>
      <c r="E31">
        <v>2.6131000000000002</v>
      </c>
      <c r="F31">
        <f t="shared" si="5"/>
        <v>4.2000000000000259E-2</v>
      </c>
      <c r="G31">
        <f t="shared" si="6"/>
        <v>4.2000000000000262E-5</v>
      </c>
      <c r="H31">
        <v>3.8</v>
      </c>
      <c r="I31">
        <v>14.9</v>
      </c>
      <c r="J31">
        <f t="shared" si="7"/>
        <v>11.100000000000001</v>
      </c>
      <c r="K31">
        <f t="shared" si="8"/>
        <v>1.1100000000000002E-5</v>
      </c>
      <c r="M31">
        <f>(G31*$U$9*$Q$10)/($O$10*K31)</f>
        <v>9.2550238736858748E-2</v>
      </c>
      <c r="N31">
        <f t="shared" si="9"/>
        <v>92.550238736858745</v>
      </c>
    </row>
    <row r="32" spans="3:24" x14ac:dyDescent="0.25">
      <c r="C32">
        <v>5</v>
      </c>
      <c r="D32">
        <v>2.4325000000000001</v>
      </c>
      <c r="E32">
        <v>2.4788000000000001</v>
      </c>
      <c r="F32">
        <f t="shared" si="5"/>
        <v>4.6300000000000008E-2</v>
      </c>
      <c r="G32">
        <f t="shared" si="6"/>
        <v>4.6300000000000007E-5</v>
      </c>
      <c r="H32">
        <v>2.2000000000000002</v>
      </c>
      <c r="I32">
        <v>15.5</v>
      </c>
      <c r="J32">
        <f t="shared" si="7"/>
        <v>13.3</v>
      </c>
      <c r="K32">
        <f t="shared" si="8"/>
        <v>1.3300000000000001E-5</v>
      </c>
      <c r="M32">
        <f>(G32*$U$9*$Q$10)/($O$10*K32)</f>
        <v>8.5149201922723822E-2</v>
      </c>
      <c r="N32">
        <f t="shared" si="9"/>
        <v>85.149201922723819</v>
      </c>
    </row>
    <row r="33" spans="3:18" x14ac:dyDescent="0.25">
      <c r="C33">
        <v>6</v>
      </c>
      <c r="D33">
        <v>2.4331999999999998</v>
      </c>
      <c r="E33">
        <v>2.5112999999999999</v>
      </c>
      <c r="F33">
        <f t="shared" si="5"/>
        <v>7.8100000000000058E-2</v>
      </c>
      <c r="G33">
        <f t="shared" si="6"/>
        <v>7.8100000000000055E-5</v>
      </c>
      <c r="H33">
        <v>3.2</v>
      </c>
      <c r="I33">
        <v>26.1</v>
      </c>
      <c r="J33">
        <f t="shared" si="7"/>
        <v>22.900000000000002</v>
      </c>
      <c r="K33">
        <f t="shared" si="8"/>
        <v>2.2900000000000001E-5</v>
      </c>
      <c r="M33">
        <f>(G33*$U$9*$Q$10)/($O$10*K33)</f>
        <v>8.3419346499656682E-2</v>
      </c>
      <c r="N33">
        <f t="shared" si="9"/>
        <v>83.419346499656683</v>
      </c>
    </row>
    <row r="35" spans="3:18" x14ac:dyDescent="0.25">
      <c r="M35" s="2" t="s">
        <v>26</v>
      </c>
      <c r="N35">
        <f>AVERAGE(N28:N33)</f>
        <v>86.578490515659993</v>
      </c>
    </row>
    <row r="36" spans="3:18" x14ac:dyDescent="0.25">
      <c r="M36" s="2" t="s">
        <v>27</v>
      </c>
      <c r="N36">
        <f>_xlfn.STDEV.S(N28:N33)</f>
        <v>3.4391735934282632</v>
      </c>
      <c r="P36" s="2" t="s">
        <v>42</v>
      </c>
      <c r="R36" s="5">
        <f>2.41/84.16</f>
        <v>2.8635931558935363E-2</v>
      </c>
    </row>
    <row r="37" spans="3:18" x14ac:dyDescent="0.25">
      <c r="C37" t="s">
        <v>34</v>
      </c>
      <c r="M37" s="4" t="s">
        <v>28</v>
      </c>
      <c r="N37">
        <f>N36/SQRT(5)</f>
        <v>1.5380451882655641</v>
      </c>
    </row>
  </sheetData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2022-02-03T19:58:33Z</dcterms:modified>
</cp:coreProperties>
</file>