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ium\PC Praktikum\A11\"/>
    </mc:Choice>
  </mc:AlternateContent>
  <xr:revisionPtr revIDLastSave="0" documentId="13_ncr:1_{DF6D947D-8AE8-4B1F-BA1D-595454A3C4FB}" xr6:coauthVersionLast="47" xr6:coauthVersionMax="47" xr10:uidLastSave="{00000000-0000-0000-0000-000000000000}"/>
  <bookViews>
    <workbookView xWindow="-120" yWindow="-120" windowWidth="29040" windowHeight="15840" xr2:uid="{6732D0AB-CECC-4761-8A34-43A4F94E91D6}"/>
  </bookViews>
  <sheets>
    <sheet name="Tabelle1" sheetId="1" r:id="rId1"/>
    <sheet name="Tabelle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4" i="1" l="1"/>
  <c r="R31" i="1"/>
  <c r="R33" i="1"/>
  <c r="R30" i="1"/>
  <c r="R32" i="1"/>
  <c r="R29" i="1"/>
  <c r="M31" i="1"/>
  <c r="K31" i="1"/>
  <c r="M30" i="1"/>
  <c r="K30" i="1"/>
  <c r="M29" i="1"/>
  <c r="K29" i="1"/>
  <c r="K35" i="1"/>
  <c r="K34" i="1"/>
  <c r="K36" i="1"/>
  <c r="K23" i="1"/>
  <c r="C33" i="1"/>
  <c r="C32" i="1"/>
  <c r="C31" i="1"/>
  <c r="R7" i="1"/>
  <c r="K24" i="1"/>
  <c r="K25" i="1"/>
  <c r="D12" i="1"/>
  <c r="K15" i="1"/>
  <c r="K18" i="1"/>
  <c r="K17" i="1"/>
  <c r="K16" i="1"/>
  <c r="K14" i="1"/>
  <c r="K13" i="1"/>
  <c r="E25" i="2"/>
  <c r="U13" i="2"/>
  <c r="Q13" i="2"/>
  <c r="I13" i="2"/>
  <c r="M13" i="2"/>
  <c r="E13" i="2"/>
  <c r="D18" i="1"/>
  <c r="D17" i="1"/>
  <c r="D16" i="1"/>
  <c r="D15" i="1"/>
  <c r="H16" i="1" l="1"/>
  <c r="H14" i="1"/>
  <c r="H15" i="1"/>
  <c r="H17" i="1"/>
  <c r="H18" i="1"/>
  <c r="D14" i="1"/>
  <c r="D13" i="1"/>
  <c r="H13" i="1" s="1"/>
</calcChain>
</file>

<file path=xl/sharedStrings.xml><?xml version="1.0" encoding="utf-8"?>
<sst xmlns="http://schemas.openxmlformats.org/spreadsheetml/2006/main" count="141" uniqueCount="91">
  <si>
    <t>Apparatur 1</t>
  </si>
  <si>
    <t>Eintauchtiefe</t>
  </si>
  <si>
    <t>Kapillarlänge</t>
  </si>
  <si>
    <t>Druckmessumformer</t>
  </si>
  <si>
    <t>Messbereich</t>
  </si>
  <si>
    <t>0 - 20 hPa</t>
  </si>
  <si>
    <t>Ausgangssig.</t>
  </si>
  <si>
    <t>0 - 10 V</t>
  </si>
  <si>
    <t>Faktor</t>
  </si>
  <si>
    <t>V*2 = Druck in hPa</t>
  </si>
  <si>
    <t>A11 Viskosität von Gasen</t>
  </si>
  <si>
    <t>p1</t>
  </si>
  <si>
    <t>Δp(Argon, 20°C)</t>
  </si>
  <si>
    <t>Δp(Argon, 70°C)</t>
  </si>
  <si>
    <t>Δp(Helium, 20°C)</t>
  </si>
  <si>
    <t>Δp(Helium, 70°C)</t>
  </si>
  <si>
    <t>Δp(Stickstoff, 20°C)</t>
  </si>
  <si>
    <t>Δp(Stickstoff, 70°C)</t>
  </si>
  <si>
    <t>V0 = 30 mL</t>
  </si>
  <si>
    <t>T0 = 20 °C</t>
  </si>
  <si>
    <t>Pa</t>
  </si>
  <si>
    <t>p2(Argon, 20°C)</t>
  </si>
  <si>
    <t>p2(Argon, 70°C)</t>
  </si>
  <si>
    <t>p2(Helium, 20°C)</t>
  </si>
  <si>
    <t>p2(Helium, 70°C)</t>
  </si>
  <si>
    <t>p2(Stickstoff, 20°C)</t>
  </si>
  <si>
    <t>p2(Stickstoff, 70°C)</t>
  </si>
  <si>
    <t>V</t>
  </si>
  <si>
    <t>T</t>
  </si>
  <si>
    <t>Argon 20°C</t>
  </si>
  <si>
    <t>Durchschnitt</t>
  </si>
  <si>
    <t>Argon 70°C</t>
  </si>
  <si>
    <t>Helium 20°C</t>
  </si>
  <si>
    <t>Helium 70°C</t>
  </si>
  <si>
    <t>Stickstoff 20°C</t>
  </si>
  <si>
    <t>Stickstoff 70°C</t>
  </si>
  <si>
    <t>V0/t(Argon, 20 °C)</t>
  </si>
  <si>
    <t>V0/t(Argon, 70 °C)</t>
  </si>
  <si>
    <t>V0/t(Helium, 20 °C)</t>
  </si>
  <si>
    <t>V0/t(Helium, 70 °C)</t>
  </si>
  <si>
    <t>V0/t(Stickstoff, 20 °C)</t>
  </si>
  <si>
    <t>V0/t(Stickstoff, 70 °C)</t>
  </si>
  <si>
    <t>m/s</t>
  </si>
  <si>
    <t>Argon (20°C)</t>
  </si>
  <si>
    <t>Pi</t>
  </si>
  <si>
    <t>Kapillarradius</t>
  </si>
  <si>
    <t>Argon (70°C)</t>
  </si>
  <si>
    <t>Helium (20°C)</t>
  </si>
  <si>
    <t>Stickstoff (20°C)</t>
  </si>
  <si>
    <t>Helium (70°C)</t>
  </si>
  <si>
    <t>Stickstoff (70°C)</t>
  </si>
  <si>
    <r>
      <t xml:space="preserve">h         </t>
    </r>
    <r>
      <rPr>
        <b/>
        <sz val="11"/>
        <color theme="1"/>
        <rFont val="Calibri Light"/>
        <family val="2"/>
        <scheme val="major"/>
      </rPr>
      <t>=</t>
    </r>
  </si>
  <si>
    <t>(pi*r^4*(p1^2-p2^2)*T0*t)/(16*l*p0*T*V0)</t>
  </si>
  <si>
    <t>70°C in K</t>
  </si>
  <si>
    <t>Raumtemperatur (20°C)</t>
  </si>
  <si>
    <t>Sutherland-Konstante</t>
  </si>
  <si>
    <t>C</t>
  </si>
  <si>
    <r>
      <t xml:space="preserve">(h1/h2) = </t>
    </r>
    <r>
      <rPr>
        <sz val="11"/>
        <color theme="1"/>
        <rFont val="Calibri Light"/>
        <family val="2"/>
        <scheme val="major"/>
      </rPr>
      <t>(T1/T2)^(3/2)*((T2+C)/(T1+C))</t>
    </r>
  </si>
  <si>
    <t>C(Argon)</t>
  </si>
  <si>
    <t>C(Helium)</t>
  </si>
  <si>
    <t>C(Stickstoff)</t>
  </si>
  <si>
    <t>C=</t>
  </si>
  <si>
    <t>((WURZEL(T2/T1)*(h1/h2)-1)*T2)/(1-(WURZEL(T2/T1)*((h1*T2)/(h2*T1))</t>
  </si>
  <si>
    <t>d</t>
  </si>
  <si>
    <t>d(Argon)</t>
  </si>
  <si>
    <t>d(Helium)</t>
  </si>
  <si>
    <t>d(Stickstoff)</t>
  </si>
  <si>
    <t>Avogadro-Konst.</t>
  </si>
  <si>
    <t>Allg. Gaskonst.</t>
  </si>
  <si>
    <t>mol^-1</t>
  </si>
  <si>
    <t>Molmasse</t>
  </si>
  <si>
    <t>Helium</t>
  </si>
  <si>
    <t>Argon</t>
  </si>
  <si>
    <t>Stickstoff</t>
  </si>
  <si>
    <t>d²(unendlich)</t>
  </si>
  <si>
    <t>d²(Argon)</t>
  </si>
  <si>
    <t>d²(Helium)</t>
  </si>
  <si>
    <t>d²(Stickstoff)</t>
  </si>
  <si>
    <t>λ</t>
  </si>
  <si>
    <t>Wurzel aus 2</t>
  </si>
  <si>
    <t>kg/mol</t>
  </si>
  <si>
    <t>Pa/s</t>
  </si>
  <si>
    <t>J · mol^-1 · K^-1</t>
  </si>
  <si>
    <t>m</t>
  </si>
  <si>
    <t>d70</t>
  </si>
  <si>
    <t>λ(Argon)70</t>
  </si>
  <si>
    <t>λ(Helium)70</t>
  </si>
  <si>
    <t>λ(Stickstoff)70</t>
  </si>
  <si>
    <t>λ(Argon)20</t>
  </si>
  <si>
    <t>λ(Helium)20</t>
  </si>
  <si>
    <t>λ(Stickstoff)20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</si>
</sst>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 Light"/>
      <family val="2"/>
      <scheme val="major"/>
    </font>
    <font>
      <b/>
      <sz val="11"/>
      <color theme="1"/>
      <name val="Symbol"/>
      <family val="1"/>
      <charset val="2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quotePrefix="1"/>
    <xf numFmtId="0" fontId="3" fillId="0" borderId="0" xfId="0" applyFont="1"/>
    <xf numFmtId="164" fontId="0" fillId="0" borderId="0" xfId="0" applyNumberForma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/Argon%2020%20Grad%20-%20Jesse%20E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/Argon%2070%20Grad%20-%20Jesse%20E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/Helium%2020%20Grad%20-%20Jesse%20E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/Helium%2070%20Grad%20-%20Jesse%20En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/Stickstoff%2020%20Grad%20-%20Jesse%20En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/Stickstoff%2070%20Grad%20-%20Jesse%20E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ramm1"/>
      <sheetName val="11.01.2022 13_...ung - Dev2_ai0"/>
    </sheetNames>
    <sheetDataSet>
      <sheetData sheetId="0" refreshError="1"/>
      <sheetData sheetId="1">
        <row r="13">
          <cell r="G13">
            <v>414.8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01.2022 15_...ung - Dev2_ai0"/>
    </sheetNames>
    <sheetDataSet>
      <sheetData sheetId="0">
        <row r="14">
          <cell r="H14">
            <v>464.70099999999996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01.2022 13_...ung - Dev2_ai0"/>
    </sheetNames>
    <sheetDataSet>
      <sheetData sheetId="0">
        <row r="14">
          <cell r="H14">
            <v>453.25409999999999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01.2022 14_...ung - Dev2_ai0"/>
    </sheetNames>
    <sheetDataSet>
      <sheetData sheetId="0">
        <row r="14">
          <cell r="H14">
            <v>474.74879999999996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01.2022 14_...ung - Dev2_ai0"/>
    </sheetNames>
    <sheetDataSet>
      <sheetData sheetId="0">
        <row r="14">
          <cell r="H14">
            <v>441.17129999999997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01.2022 14_...ung - Dev2_ai0"/>
    </sheetNames>
    <sheetDataSet>
      <sheetData sheetId="0">
        <row r="14">
          <cell r="H14">
            <v>464.82819999999998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CC13-7C78-48E7-BA1C-3B442230A722}">
  <dimension ref="B3:S39"/>
  <sheetViews>
    <sheetView tabSelected="1" topLeftCell="B1" workbookViewId="0">
      <selection activeCell="M24" sqref="M24"/>
    </sheetView>
  </sheetViews>
  <sheetFormatPr baseColWidth="10" defaultRowHeight="15" x14ac:dyDescent="0.25"/>
  <cols>
    <col min="3" max="3" width="18.28515625" customWidth="1"/>
    <col min="4" max="4" width="13.5703125" bestFit="1" customWidth="1"/>
    <col min="5" max="5" width="12.85546875" customWidth="1"/>
    <col min="6" max="6" width="12.5703125" customWidth="1"/>
    <col min="7" max="7" width="17.7109375" customWidth="1"/>
    <col min="10" max="10" width="21.42578125" customWidth="1"/>
    <col min="11" max="11" width="12.42578125" customWidth="1"/>
    <col min="12" max="12" width="12.5703125" customWidth="1"/>
    <col min="13" max="13" width="12" bestFit="1" customWidth="1"/>
    <col min="15" max="15" width="12" bestFit="1" customWidth="1"/>
    <col min="17" max="17" width="15.28515625" customWidth="1"/>
    <col min="18" max="18" width="12" bestFit="1" customWidth="1"/>
  </cols>
  <sheetData>
    <row r="3" spans="2:19" ht="46.5" x14ac:dyDescent="0.7">
      <c r="B3" s="3" t="s">
        <v>10</v>
      </c>
    </row>
    <row r="4" spans="2:19" x14ac:dyDescent="0.25">
      <c r="J4" s="1" t="s">
        <v>54</v>
      </c>
      <c r="K4">
        <v>293.14999999999998</v>
      </c>
      <c r="M4" s="1" t="s">
        <v>53</v>
      </c>
      <c r="N4">
        <v>343.15</v>
      </c>
    </row>
    <row r="5" spans="2:19" x14ac:dyDescent="0.25">
      <c r="J5" s="1" t="s">
        <v>44</v>
      </c>
      <c r="K5">
        <v>3.14</v>
      </c>
    </row>
    <row r="6" spans="2:19" x14ac:dyDescent="0.25">
      <c r="J6" s="1" t="s">
        <v>79</v>
      </c>
      <c r="K6">
        <v>1.41</v>
      </c>
    </row>
    <row r="7" spans="2:19" x14ac:dyDescent="0.25">
      <c r="E7" s="1" t="s">
        <v>1</v>
      </c>
      <c r="F7" s="1" t="s">
        <v>45</v>
      </c>
      <c r="G7" s="1" t="s">
        <v>2</v>
      </c>
      <c r="K7" s="1" t="s">
        <v>4</v>
      </c>
      <c r="L7" s="1" t="s">
        <v>6</v>
      </c>
      <c r="O7" t="s">
        <v>18</v>
      </c>
      <c r="Q7" s="1" t="s">
        <v>67</v>
      </c>
      <c r="R7">
        <f>6.02214086*10^23</f>
        <v>6.0221408599999999E+23</v>
      </c>
      <c r="S7" t="s">
        <v>69</v>
      </c>
    </row>
    <row r="8" spans="2:19" x14ac:dyDescent="0.25">
      <c r="D8" s="1" t="s">
        <v>0</v>
      </c>
      <c r="E8">
        <v>0.06</v>
      </c>
      <c r="F8">
        <v>4.3199999999999998E-4</v>
      </c>
      <c r="G8">
        <v>0.30399999999999999</v>
      </c>
      <c r="J8" s="1" t="s">
        <v>3</v>
      </c>
      <c r="K8" t="s">
        <v>5</v>
      </c>
      <c r="L8" t="s">
        <v>7</v>
      </c>
      <c r="O8" t="s">
        <v>19</v>
      </c>
      <c r="Q8" s="1" t="s">
        <v>68</v>
      </c>
      <c r="R8" s="2">
        <v>8.3140000000000001</v>
      </c>
      <c r="S8" t="s">
        <v>82</v>
      </c>
    </row>
    <row r="9" spans="2:19" x14ac:dyDescent="0.25">
      <c r="J9" s="1" t="s">
        <v>8</v>
      </c>
      <c r="K9" t="s">
        <v>9</v>
      </c>
    </row>
    <row r="12" spans="2:19" x14ac:dyDescent="0.25">
      <c r="C12" s="1" t="s">
        <v>11</v>
      </c>
      <c r="D12">
        <f>100000+(863*9.81*0.06)</f>
        <v>100507.9618</v>
      </c>
      <c r="E12" s="4" t="s">
        <v>20</v>
      </c>
    </row>
    <row r="13" spans="2:19" x14ac:dyDescent="0.25">
      <c r="C13" s="1" t="s">
        <v>12</v>
      </c>
      <c r="D13">
        <f>'[1]11.01.2022 13_...ung - Dev2_ai0'!$G$13</f>
        <v>414.8</v>
      </c>
      <c r="E13" s="4" t="s">
        <v>20</v>
      </c>
      <c r="G13" s="1" t="s">
        <v>21</v>
      </c>
      <c r="H13" s="5">
        <f>D12-D13</f>
        <v>100093.1618</v>
      </c>
      <c r="I13" s="4" t="s">
        <v>20</v>
      </c>
      <c r="J13" s="1" t="s">
        <v>36</v>
      </c>
      <c r="K13">
        <f>0.00003/Tabelle2!E13</f>
        <v>9.1472710641325337E-7</v>
      </c>
      <c r="L13" s="4" t="s">
        <v>42</v>
      </c>
    </row>
    <row r="14" spans="2:19" x14ac:dyDescent="0.25">
      <c r="C14" s="1" t="s">
        <v>13</v>
      </c>
      <c r="D14">
        <f>'[2]11.01.2022 15_...ung - Dev2_ai0'!$H$14</f>
        <v>464.70099999999996</v>
      </c>
      <c r="E14" s="4" t="s">
        <v>20</v>
      </c>
      <c r="G14" s="1" t="s">
        <v>22</v>
      </c>
      <c r="H14" s="5">
        <f>D12-D14</f>
        <v>100043.2608</v>
      </c>
      <c r="I14" s="4" t="s">
        <v>20</v>
      </c>
      <c r="J14" s="1" t="s">
        <v>37</v>
      </c>
      <c r="K14">
        <f>0.00003/Tabelle2!I13</f>
        <v>7.2774318751516131E-7</v>
      </c>
      <c r="L14" s="4" t="s">
        <v>42</v>
      </c>
    </row>
    <row r="15" spans="2:19" x14ac:dyDescent="0.25">
      <c r="C15" s="1" t="s">
        <v>14</v>
      </c>
      <c r="D15">
        <f>'[3]11.01.2022 13_...ung - Dev2_ai0'!$H$14</f>
        <v>453.25409999999999</v>
      </c>
      <c r="E15" s="4" t="s">
        <v>20</v>
      </c>
      <c r="G15" s="1" t="s">
        <v>23</v>
      </c>
      <c r="H15" s="5">
        <f>D12-D15</f>
        <v>100054.7077</v>
      </c>
      <c r="I15" s="4" t="s">
        <v>20</v>
      </c>
      <c r="J15" s="1" t="s">
        <v>38</v>
      </c>
      <c r="K15">
        <f>0.00003/Tabelle2!M13</f>
        <v>1.0616963548425151E-6</v>
      </c>
      <c r="L15" s="4" t="s">
        <v>42</v>
      </c>
    </row>
    <row r="16" spans="2:19" x14ac:dyDescent="0.25">
      <c r="C16" s="1" t="s">
        <v>15</v>
      </c>
      <c r="D16">
        <f>'[4]11.01.2022 14_...ung - Dev2_ai0'!$H$14</f>
        <v>474.74879999999996</v>
      </c>
      <c r="E16" s="4" t="s">
        <v>20</v>
      </c>
      <c r="G16" s="1" t="s">
        <v>24</v>
      </c>
      <c r="H16" s="5">
        <f>D12-D16</f>
        <v>100033.213</v>
      </c>
      <c r="I16" s="4" t="s">
        <v>20</v>
      </c>
      <c r="J16" s="1" t="s">
        <v>39</v>
      </c>
      <c r="K16">
        <f>0.00003/Tabelle2!Q13</f>
        <v>8.5324232081911255E-7</v>
      </c>
      <c r="L16" s="4" t="s">
        <v>42</v>
      </c>
    </row>
    <row r="17" spans="2:19" x14ac:dyDescent="0.25">
      <c r="C17" s="1" t="s">
        <v>16</v>
      </c>
      <c r="D17">
        <f>'[5]11.01.2022 14_...ung - Dev2_ai0'!$H$14</f>
        <v>441.17129999999997</v>
      </c>
      <c r="E17" s="4" t="s">
        <v>20</v>
      </c>
      <c r="G17" s="1" t="s">
        <v>25</v>
      </c>
      <c r="H17" s="5">
        <f>D12-D17</f>
        <v>100066.7905</v>
      </c>
      <c r="I17" s="4" t="s">
        <v>20</v>
      </c>
      <c r="J17" s="1" t="s">
        <v>40</v>
      </c>
      <c r="K17">
        <f>0.00003/Tabelle2!U13</f>
        <v>1.1560693641618499E-6</v>
      </c>
      <c r="L17" s="4" t="s">
        <v>42</v>
      </c>
    </row>
    <row r="18" spans="2:19" x14ac:dyDescent="0.25">
      <c r="C18" s="1" t="s">
        <v>17</v>
      </c>
      <c r="D18">
        <f>'[6]11.01.2022 14_...ung - Dev2_ai0'!$H$14</f>
        <v>464.82819999999998</v>
      </c>
      <c r="E18" s="4" t="s">
        <v>20</v>
      </c>
      <c r="G18" s="1" t="s">
        <v>26</v>
      </c>
      <c r="H18" s="5">
        <f>D12-D18</f>
        <v>100043.1336</v>
      </c>
      <c r="I18" s="4" t="s">
        <v>20</v>
      </c>
      <c r="J18" s="1" t="s">
        <v>41</v>
      </c>
      <c r="K18">
        <f>0.00003/Tabelle2!E25</f>
        <v>9.3730472818162886E-7</v>
      </c>
      <c r="L18" s="4" t="s">
        <v>42</v>
      </c>
    </row>
    <row r="21" spans="2:19" x14ac:dyDescent="0.25">
      <c r="C21" s="8" t="s">
        <v>51</v>
      </c>
      <c r="D21" s="1" t="s">
        <v>52</v>
      </c>
      <c r="H21" s="1"/>
      <c r="I21" s="11" t="s">
        <v>55</v>
      </c>
      <c r="J21" s="10" t="s">
        <v>56</v>
      </c>
      <c r="K21" s="6" t="s">
        <v>57</v>
      </c>
      <c r="O21" t="s">
        <v>61</v>
      </c>
      <c r="P21" t="s">
        <v>62</v>
      </c>
    </row>
    <row r="23" spans="2:19" x14ac:dyDescent="0.25">
      <c r="C23" s="1" t="s">
        <v>43</v>
      </c>
      <c r="D23" s="7">
        <v>2.048E-5</v>
      </c>
      <c r="E23" s="4" t="s">
        <v>81</v>
      </c>
      <c r="J23" s="1" t="s">
        <v>58</v>
      </c>
      <c r="K23">
        <f>(((SQRT($N$4/$K$4))*(D23/D24)-1)*$N$4)/((1-(SQRT($N$4/$K$4))*((D23*$N$4)/(D24*$K$4))))</f>
        <v>634.07251925621586</v>
      </c>
    </row>
    <row r="24" spans="2:19" x14ac:dyDescent="0.25">
      <c r="C24" s="1" t="s">
        <v>46</v>
      </c>
      <c r="D24" s="7">
        <v>2.461E-5</v>
      </c>
      <c r="E24" s="4" t="s">
        <v>81</v>
      </c>
      <c r="J24" s="1" t="s">
        <v>59</v>
      </c>
      <c r="K24">
        <f>(((SQRT($N$4/$K$4))*(D25/D26)-1)*$N$4)/((1-(SQRT($N$4/$K$4))*((D25*$N$4)/(D26*$K$4))))</f>
        <v>75.834410023022286</v>
      </c>
    </row>
    <row r="25" spans="2:19" x14ac:dyDescent="0.25">
      <c r="C25" s="1" t="s">
        <v>47</v>
      </c>
      <c r="D25" s="7">
        <v>1.925E-5</v>
      </c>
      <c r="E25" s="4" t="s">
        <v>81</v>
      </c>
      <c r="J25" s="1" t="s">
        <v>60</v>
      </c>
      <c r="K25">
        <f>(((SQRT($N$4/$K$4))*(D27/D28)-1)*$N$4)/((1-(SQRT($N$4/$K$4))*((D27*$N$4)/(D28*$K$4))))</f>
        <v>67.198756686673136</v>
      </c>
    </row>
    <row r="26" spans="2:19" x14ac:dyDescent="0.25">
      <c r="C26" s="1" t="s">
        <v>49</v>
      </c>
      <c r="D26" s="7">
        <v>2.1469999999999999E-5</v>
      </c>
      <c r="E26" s="4" t="s">
        <v>81</v>
      </c>
    </row>
    <row r="27" spans="2:19" x14ac:dyDescent="0.25">
      <c r="C27" s="1" t="s">
        <v>48</v>
      </c>
      <c r="D27" s="7">
        <v>1.721E-5</v>
      </c>
      <c r="E27" s="4" t="s">
        <v>81</v>
      </c>
    </row>
    <row r="28" spans="2:19" x14ac:dyDescent="0.25">
      <c r="C28" s="1" t="s">
        <v>50</v>
      </c>
      <c r="D28" s="7">
        <v>1.914E-5</v>
      </c>
      <c r="E28" s="4" t="s">
        <v>81</v>
      </c>
      <c r="J28" s="9" t="s">
        <v>63</v>
      </c>
      <c r="M28" t="s">
        <v>84</v>
      </c>
      <c r="Q28" s="9" t="s">
        <v>78</v>
      </c>
    </row>
    <row r="29" spans="2:19" x14ac:dyDescent="0.25">
      <c r="J29" s="1" t="s">
        <v>64</v>
      </c>
      <c r="K29">
        <f>SQRT((K34)*(1+(K23/$K$4)))</f>
        <v>3.0961033082793676E-10</v>
      </c>
      <c r="L29" s="4" t="s">
        <v>83</v>
      </c>
      <c r="M29">
        <f>SQRT((K34)*(1+(K23/N4)))</f>
        <v>2.9378061721279183E-10</v>
      </c>
      <c r="Q29" s="1" t="s">
        <v>88</v>
      </c>
      <c r="R29">
        <f>1/($K$6*$K$5*(K29*K29)*((H13*$R$7)/($R$8*$K$4)))</f>
        <v>9.5271927831807935E-8</v>
      </c>
      <c r="S29" s="4" t="s">
        <v>83</v>
      </c>
    </row>
    <row r="30" spans="2:19" x14ac:dyDescent="0.25">
      <c r="C30" s="1" t="s">
        <v>70</v>
      </c>
      <c r="J30" s="1" t="s">
        <v>65</v>
      </c>
      <c r="K30">
        <f>SQRT((K35)*(1+(K24/$K$4)))</f>
        <v>1.7967054881261364E-10</v>
      </c>
      <c r="L30" s="4" t="s">
        <v>83</v>
      </c>
      <c r="M30">
        <f>SQRT((K35)*(1+(K24/N4)))</f>
        <v>1.7695985968360378E-10</v>
      </c>
      <c r="Q30" s="1" t="s">
        <v>89</v>
      </c>
      <c r="R30">
        <f>1/($K$6*$K$5*(K30*K30)*((H15*$R$7)/($R$8*$K$4)))</f>
        <v>2.8301465982662713E-7</v>
      </c>
      <c r="S30" s="4" t="s">
        <v>83</v>
      </c>
    </row>
    <row r="31" spans="2:19" x14ac:dyDescent="0.25">
      <c r="B31" s="1" t="s">
        <v>71</v>
      </c>
      <c r="C31">
        <f>4.002602/1000</f>
        <v>4.0026020000000001E-3</v>
      </c>
      <c r="D31" s="4" t="s">
        <v>80</v>
      </c>
      <c r="J31" s="1" t="s">
        <v>66</v>
      </c>
      <c r="K31">
        <f>SQRT((K36)*(1+(K25/$K$4)))</f>
        <v>2.5989635033794751E-10</v>
      </c>
      <c r="L31" s="4" t="s">
        <v>83</v>
      </c>
      <c r="M31">
        <f>SQRT((K36)*(1+(K25/N4)))</f>
        <v>2.5634105978092859E-10</v>
      </c>
      <c r="Q31" s="1" t="s">
        <v>90</v>
      </c>
      <c r="R31">
        <f>1/($K$6*$K$5*(K31*K31)*((H17*$R$7)/($R$8*$K$4)))</f>
        <v>1.3524148039274655E-7</v>
      </c>
      <c r="S31" s="4" t="s">
        <v>83</v>
      </c>
    </row>
    <row r="32" spans="2:19" x14ac:dyDescent="0.25">
      <c r="B32" s="1" t="s">
        <v>72</v>
      </c>
      <c r="C32">
        <f>39.948/1000</f>
        <v>3.9947999999999997E-2</v>
      </c>
      <c r="D32" s="4" t="s">
        <v>80</v>
      </c>
      <c r="Q32" s="1" t="s">
        <v>85</v>
      </c>
      <c r="R32">
        <f>1/($K$6*$K$5*(M29^2)*((H13*$R$7)/($R$8*N4)))</f>
        <v>1.2386359108329796E-7</v>
      </c>
      <c r="S32" s="4" t="s">
        <v>83</v>
      </c>
    </row>
    <row r="33" spans="2:19" x14ac:dyDescent="0.25">
      <c r="B33" s="1" t="s">
        <v>73</v>
      </c>
      <c r="C33">
        <f>14.0067/1000</f>
        <v>1.40067E-2</v>
      </c>
      <c r="D33" s="4" t="s">
        <v>80</v>
      </c>
      <c r="J33" s="9" t="s">
        <v>74</v>
      </c>
      <c r="Q33" s="1" t="s">
        <v>86</v>
      </c>
      <c r="R33">
        <f>1/($K$6*$K$5*(M30^2)*((H15*$R$7)/($R$8*N4)))</f>
        <v>3.4151304313377082E-7</v>
      </c>
      <c r="S33" s="4" t="s">
        <v>83</v>
      </c>
    </row>
    <row r="34" spans="2:19" x14ac:dyDescent="0.25">
      <c r="J34" s="1" t="s">
        <v>75</v>
      </c>
      <c r="K34">
        <f>2*((SQRT((C32*$R$8*K4)/$K$5))/((3*$R$7*D23*$K$5)+(3*$R$7*K23*D23*$K$5)/K4))</f>
        <v>3.030657192624322E-20</v>
      </c>
      <c r="L34" s="4" t="s">
        <v>83</v>
      </c>
      <c r="Q34" s="1" t="s">
        <v>87</v>
      </c>
      <c r="R34">
        <f>1/($K$6*$K$5*(M31^2)*((H17*$R$7)/($R$8*N4)))</f>
        <v>1.6273015252571738E-7</v>
      </c>
      <c r="S34" s="4" t="s">
        <v>83</v>
      </c>
    </row>
    <row r="35" spans="2:19" x14ac:dyDescent="0.25">
      <c r="J35" s="1" t="s">
        <v>76</v>
      </c>
      <c r="K35">
        <f>2*((SQRT((C31*$R$8*K4)/$K$5))/((3*$R$7*D25*$K$5)+(3*$R$7*K24*D25*$K$5)/K4))</f>
        <v>2.5646946752410204E-20</v>
      </c>
      <c r="L35" s="4" t="s">
        <v>83</v>
      </c>
    </row>
    <row r="36" spans="2:19" x14ac:dyDescent="0.25">
      <c r="J36" s="1" t="s">
        <v>77</v>
      </c>
      <c r="K36">
        <f>2*((SQRT((C33*$R$8*K4)/$K$5))/((3*$R$7*D27*$K$5)+(3*$R$7*K25*D27*$K$5)/K4))</f>
        <v>5.4949941229900761E-20</v>
      </c>
      <c r="L36" s="4" t="s">
        <v>83</v>
      </c>
    </row>
    <row r="37" spans="2:19" x14ac:dyDescent="0.25">
      <c r="J37" s="1"/>
    </row>
    <row r="38" spans="2:19" x14ac:dyDescent="0.25">
      <c r="J38" s="1"/>
    </row>
    <row r="39" spans="2:19" x14ac:dyDescent="0.25">
      <c r="J39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E4F8-A2B2-43E3-B558-C74B4227B93D}">
  <dimension ref="C6:U25"/>
  <sheetViews>
    <sheetView workbookViewId="0">
      <selection activeCell="D7" sqref="D7"/>
    </sheetView>
  </sheetViews>
  <sheetFormatPr baseColWidth="10" defaultRowHeight="15" x14ac:dyDescent="0.25"/>
  <cols>
    <col min="3" max="3" width="12.85546875" customWidth="1"/>
  </cols>
  <sheetData>
    <row r="6" spans="3:21" x14ac:dyDescent="0.25">
      <c r="C6" s="1" t="s">
        <v>29</v>
      </c>
      <c r="D6" s="1" t="s">
        <v>27</v>
      </c>
      <c r="E6" s="1" t="s">
        <v>28</v>
      </c>
      <c r="G6" s="1" t="s">
        <v>31</v>
      </c>
      <c r="H6" s="1" t="s">
        <v>27</v>
      </c>
      <c r="I6" s="1" t="s">
        <v>28</v>
      </c>
      <c r="K6" s="1" t="s">
        <v>32</v>
      </c>
      <c r="L6" s="1" t="s">
        <v>27</v>
      </c>
      <c r="M6" s="1" t="s">
        <v>28</v>
      </c>
      <c r="O6" s="1" t="s">
        <v>33</v>
      </c>
      <c r="P6" s="1" t="s">
        <v>27</v>
      </c>
      <c r="Q6" s="1" t="s">
        <v>28</v>
      </c>
      <c r="S6" s="1" t="s">
        <v>34</v>
      </c>
      <c r="T6" s="1" t="s">
        <v>27</v>
      </c>
      <c r="U6" s="1" t="s">
        <v>28</v>
      </c>
    </row>
    <row r="7" spans="3:21" x14ac:dyDescent="0.25">
      <c r="D7">
        <v>30</v>
      </c>
      <c r="E7">
        <v>32.89</v>
      </c>
      <c r="H7">
        <v>30</v>
      </c>
      <c r="I7">
        <v>41.2</v>
      </c>
      <c r="L7">
        <v>30</v>
      </c>
      <c r="M7">
        <v>28.26</v>
      </c>
      <c r="P7">
        <v>30</v>
      </c>
      <c r="Q7">
        <v>35.159999999999997</v>
      </c>
      <c r="T7">
        <v>30</v>
      </c>
      <c r="U7">
        <v>25.96</v>
      </c>
    </row>
    <row r="8" spans="3:21" x14ac:dyDescent="0.25">
      <c r="D8">
        <v>30</v>
      </c>
      <c r="E8">
        <v>32.76</v>
      </c>
      <c r="H8">
        <v>30</v>
      </c>
      <c r="I8">
        <v>41.16</v>
      </c>
      <c r="L8">
        <v>30</v>
      </c>
      <c r="M8">
        <v>28.32</v>
      </c>
      <c r="P8">
        <v>30</v>
      </c>
      <c r="Q8">
        <v>35.18</v>
      </c>
      <c r="T8">
        <v>30</v>
      </c>
      <c r="U8">
        <v>25.96</v>
      </c>
    </row>
    <row r="9" spans="3:21" x14ac:dyDescent="0.25">
      <c r="D9">
        <v>30</v>
      </c>
      <c r="E9">
        <v>33</v>
      </c>
      <c r="H9">
        <v>30</v>
      </c>
      <c r="I9">
        <v>41.31</v>
      </c>
      <c r="L9">
        <v>30</v>
      </c>
      <c r="M9">
        <v>28.18</v>
      </c>
      <c r="P9">
        <v>30</v>
      </c>
      <c r="Q9">
        <v>35.14</v>
      </c>
      <c r="T9">
        <v>30</v>
      </c>
      <c r="U9">
        <v>25.99</v>
      </c>
    </row>
    <row r="10" spans="3:21" x14ac:dyDescent="0.25">
      <c r="D10">
        <v>30</v>
      </c>
      <c r="E10">
        <v>32.61</v>
      </c>
      <c r="H10">
        <v>30</v>
      </c>
      <c r="L10">
        <v>30</v>
      </c>
      <c r="M10">
        <v>28.21</v>
      </c>
      <c r="P10">
        <v>30</v>
      </c>
      <c r="T10">
        <v>30</v>
      </c>
      <c r="U10">
        <v>25.89</v>
      </c>
    </row>
    <row r="11" spans="3:21" x14ac:dyDescent="0.25">
      <c r="D11">
        <v>30</v>
      </c>
      <c r="E11">
        <v>32.770000000000003</v>
      </c>
      <c r="H11">
        <v>30</v>
      </c>
      <c r="L11">
        <v>30</v>
      </c>
      <c r="M11">
        <v>28.38</v>
      </c>
      <c r="P11">
        <v>30</v>
      </c>
      <c r="T11">
        <v>30</v>
      </c>
    </row>
    <row r="12" spans="3:21" x14ac:dyDescent="0.25">
      <c r="D12">
        <v>30</v>
      </c>
      <c r="E12">
        <v>32.75</v>
      </c>
      <c r="H12">
        <v>30</v>
      </c>
      <c r="L12">
        <v>30</v>
      </c>
      <c r="M12">
        <v>28.19</v>
      </c>
      <c r="P12">
        <v>30</v>
      </c>
      <c r="T12">
        <v>30</v>
      </c>
    </row>
    <row r="13" spans="3:21" x14ac:dyDescent="0.25">
      <c r="C13" s="1" t="s">
        <v>30</v>
      </c>
      <c r="D13">
        <v>30</v>
      </c>
      <c r="E13">
        <f>SUM(E7:E12)/6</f>
        <v>32.796666666666667</v>
      </c>
      <c r="G13" s="1" t="s">
        <v>30</v>
      </c>
      <c r="H13">
        <v>30</v>
      </c>
      <c r="I13">
        <f>SUM(I7:I9)/3</f>
        <v>41.223333333333336</v>
      </c>
      <c r="K13" s="1" t="s">
        <v>30</v>
      </c>
      <c r="L13">
        <v>30</v>
      </c>
      <c r="M13">
        <f>SUM(M7:M12)/6</f>
        <v>28.256666666666664</v>
      </c>
      <c r="O13" s="1" t="s">
        <v>30</v>
      </c>
      <c r="P13">
        <v>30</v>
      </c>
      <c r="Q13">
        <f>SUM(Q7:Q9)/3</f>
        <v>35.160000000000004</v>
      </c>
      <c r="S13" s="1" t="s">
        <v>30</v>
      </c>
      <c r="T13">
        <v>30</v>
      </c>
      <c r="U13">
        <f>SUM(U7:U10)/4</f>
        <v>25.95</v>
      </c>
    </row>
    <row r="18" spans="3:5" x14ac:dyDescent="0.25">
      <c r="C18" s="1" t="s">
        <v>35</v>
      </c>
      <c r="D18" s="1" t="s">
        <v>27</v>
      </c>
      <c r="E18" s="1" t="s">
        <v>28</v>
      </c>
    </row>
    <row r="19" spans="3:5" x14ac:dyDescent="0.25">
      <c r="D19">
        <v>30</v>
      </c>
      <c r="E19">
        <v>31.73</v>
      </c>
    </row>
    <row r="20" spans="3:5" x14ac:dyDescent="0.25">
      <c r="D20">
        <v>30</v>
      </c>
      <c r="E20">
        <v>32.07</v>
      </c>
    </row>
    <row r="21" spans="3:5" x14ac:dyDescent="0.25">
      <c r="D21">
        <v>30</v>
      </c>
      <c r="E21">
        <v>32.22</v>
      </c>
    </row>
    <row r="22" spans="3:5" x14ac:dyDescent="0.25">
      <c r="D22">
        <v>30</v>
      </c>
    </row>
    <row r="23" spans="3:5" x14ac:dyDescent="0.25">
      <c r="D23">
        <v>30</v>
      </c>
    </row>
    <row r="24" spans="3:5" x14ac:dyDescent="0.25">
      <c r="D24">
        <v>30</v>
      </c>
    </row>
    <row r="25" spans="3:5" x14ac:dyDescent="0.25">
      <c r="C25" s="1" t="s">
        <v>30</v>
      </c>
      <c r="D25">
        <v>30</v>
      </c>
      <c r="E25">
        <f>SUM(E19:E21)/3</f>
        <v>32.006666666666668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2022-01-12T11:13:11Z</dcterms:created>
  <dcterms:modified xsi:type="dcterms:W3CDTF">2022-01-12T15:31:47Z</dcterms:modified>
</cp:coreProperties>
</file>