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E:\Studium\PC Praktikum\A12\"/>
    </mc:Choice>
  </mc:AlternateContent>
  <xr:revisionPtr revIDLastSave="0" documentId="13_ncr:1_{11338D56-75A8-4847-8C37-2F450F5A070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e1" sheetId="1" r:id="rId1"/>
    <sheet name="Tabelle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7" i="1" l="1"/>
  <c r="S37" i="1"/>
  <c r="S34" i="1" a="1"/>
  <c r="S34" i="1" s="1"/>
  <c r="Q34" i="1" a="1"/>
  <c r="Q34" i="1" s="1"/>
  <c r="V21" i="1"/>
  <c r="Q28" i="1"/>
  <c r="Q27" i="1"/>
  <c r="Q26" i="1"/>
  <c r="Q25" i="1"/>
  <c r="O26" i="1"/>
  <c r="O28" i="1"/>
  <c r="O27" i="1"/>
  <c r="O25" i="1"/>
  <c r="O24" i="1"/>
  <c r="O23" i="1"/>
  <c r="O22" i="1"/>
  <c r="E21" i="1"/>
  <c r="V22" i="1"/>
  <c r="J22" i="1"/>
  <c r="N22" i="1"/>
  <c r="K26" i="1"/>
  <c r="C48" i="2"/>
  <c r="C49" i="2" s="1"/>
  <c r="L26" i="1" s="1"/>
  <c r="C47" i="2"/>
  <c r="E25" i="1"/>
  <c r="F22" i="1"/>
  <c r="F25" i="1"/>
  <c r="F21" i="1"/>
  <c r="N23" i="1"/>
  <c r="M28" i="1"/>
  <c r="M27" i="1"/>
  <c r="M26" i="1"/>
  <c r="M25" i="1"/>
  <c r="L28" i="1"/>
  <c r="L27" i="1"/>
  <c r="L23" i="1"/>
  <c r="L25" i="1"/>
  <c r="L24" i="1"/>
  <c r="L22" i="1"/>
  <c r="P26" i="1"/>
  <c r="P27" i="1"/>
  <c r="P28" i="1"/>
  <c r="P25" i="1"/>
  <c r="N28" i="1"/>
  <c r="N27" i="1"/>
  <c r="N24" i="1"/>
  <c r="N25" i="1"/>
  <c r="N26" i="1"/>
  <c r="C12" i="2"/>
  <c r="C11" i="2"/>
  <c r="F12" i="2"/>
  <c r="F11" i="2"/>
  <c r="C21" i="2"/>
  <c r="C20" i="2"/>
  <c r="F38" i="2"/>
  <c r="F39" i="2" s="1"/>
  <c r="C67" i="2"/>
  <c r="C68" i="2" s="1"/>
  <c r="C57" i="2"/>
  <c r="C58" i="2" s="1"/>
  <c r="C38" i="2"/>
  <c r="C39" i="2" s="1"/>
  <c r="F29" i="2"/>
  <c r="F30" i="2" s="1"/>
  <c r="C29" i="2"/>
  <c r="C30" i="2" s="1"/>
  <c r="F20" i="2"/>
  <c r="F21" i="2" s="1"/>
  <c r="J26" i="1"/>
  <c r="E22" i="1"/>
  <c r="J25" i="1"/>
  <c r="R21" i="1"/>
  <c r="T34" i="1" l="1"/>
  <c r="T35" i="1"/>
  <c r="S35" i="1"/>
  <c r="R35" i="1"/>
  <c r="R34" i="1"/>
  <c r="Q35" i="1"/>
  <c r="C66" i="2"/>
  <c r="C56" i="2"/>
  <c r="F37" i="2"/>
  <c r="C37" i="2"/>
  <c r="F28" i="2"/>
  <c r="C28" i="2"/>
  <c r="F19" i="2"/>
  <c r="F10" i="2"/>
  <c r="C10" i="2"/>
  <c r="C19" i="2"/>
  <c r="R27" i="1"/>
  <c r="R22" i="1"/>
  <c r="R23" i="1"/>
  <c r="R24" i="1"/>
  <c r="R25" i="1"/>
  <c r="R26" i="1"/>
  <c r="L13" i="1"/>
  <c r="L12" i="1"/>
  <c r="L11" i="1"/>
  <c r="L10" i="1"/>
  <c r="K13" i="1"/>
  <c r="K12" i="1"/>
  <c r="K11" i="1"/>
  <c r="K10" i="1"/>
  <c r="K9" i="1"/>
  <c r="K8" i="1"/>
  <c r="K7" i="1"/>
  <c r="P7" i="1"/>
  <c r="O7" i="1"/>
  <c r="N7" i="1"/>
  <c r="F12" i="1"/>
  <c r="F11" i="1"/>
  <c r="C65" i="2"/>
  <c r="F13" i="1" s="1"/>
  <c r="C55" i="2"/>
  <c r="C46" i="2"/>
  <c r="C36" i="2"/>
  <c r="F10" i="1" s="1"/>
  <c r="C27" i="2"/>
  <c r="F9" i="1" s="1"/>
  <c r="C18" i="2"/>
  <c r="F8" i="1" s="1"/>
  <c r="C9" i="2"/>
  <c r="F7" i="1" s="1"/>
  <c r="F9" i="2"/>
  <c r="G10" i="1" s="1"/>
  <c r="F36" i="2"/>
  <c r="G13" i="1" s="1"/>
  <c r="F27" i="2"/>
  <c r="G12" i="1" s="1"/>
  <c r="F18" i="2"/>
  <c r="G11" i="1" s="1"/>
  <c r="J23" i="1" l="1"/>
  <c r="S22" i="1" s="1"/>
  <c r="S21" i="1"/>
  <c r="J24" i="1"/>
  <c r="S23" i="1" s="1"/>
  <c r="S24" i="1"/>
  <c r="J28" i="1"/>
  <c r="S27" i="1" s="1"/>
  <c r="S25" i="1"/>
  <c r="J27" i="1"/>
  <c r="S26" i="1" s="1"/>
  <c r="K25" i="1"/>
  <c r="T24" i="1" s="1"/>
  <c r="K28" i="1"/>
  <c r="T27" i="1" s="1"/>
  <c r="T25" i="1"/>
  <c r="K27" i="1"/>
  <c r="T26" i="1" s="1"/>
</calcChain>
</file>

<file path=xl/sharedStrings.xml><?xml version="1.0" encoding="utf-8"?>
<sst xmlns="http://schemas.openxmlformats.org/spreadsheetml/2006/main" count="149" uniqueCount="48">
  <si>
    <t>A12 Viskosität von Flüssigkeiten</t>
  </si>
  <si>
    <t>Messwerte:</t>
  </si>
  <si>
    <t>Wasser</t>
  </si>
  <si>
    <t>5 °C</t>
  </si>
  <si>
    <t>10 °C</t>
  </si>
  <si>
    <t>15 °C</t>
  </si>
  <si>
    <t>20 °C</t>
  </si>
  <si>
    <t>30 °C</t>
  </si>
  <si>
    <t>40 °C</t>
  </si>
  <si>
    <t>50°C</t>
  </si>
  <si>
    <t>Glycerin</t>
  </si>
  <si>
    <t>Temp [K]</t>
  </si>
  <si>
    <t>Messung</t>
  </si>
  <si>
    <t>Durchschnitt</t>
  </si>
  <si>
    <t>-</t>
  </si>
  <si>
    <t>Apparaturkonst.</t>
  </si>
  <si>
    <t>K = (pi*r^4*g*h/8*l*V)</t>
  </si>
  <si>
    <t>K = (η)/(p*t)</t>
  </si>
  <si>
    <t>Dichte p in kg/m³</t>
  </si>
  <si>
    <t>K(H2O,20) =</t>
  </si>
  <si>
    <t>K(H2O,15) =</t>
  </si>
  <si>
    <t>K(Gl,20) =</t>
  </si>
  <si>
    <t>Vis. η (H2O, 20°C)</t>
  </si>
  <si>
    <t>Vis. η (H2O, 15°C)</t>
  </si>
  <si>
    <t>Vis. η (Glycerin, 20 °C)</t>
  </si>
  <si>
    <t>η = K*p*t</t>
  </si>
  <si>
    <t>Zeit t [s]</t>
  </si>
  <si>
    <t>Vis. η [kg/(m*s)]</t>
  </si>
  <si>
    <t>in [kg/(m*s)]</t>
  </si>
  <si>
    <t>1/T</t>
  </si>
  <si>
    <t>ln(η) Wasser</t>
  </si>
  <si>
    <t>ln(η) (Glycerin)</t>
  </si>
  <si>
    <t>Bestimmtheitsmaß:</t>
  </si>
  <si>
    <t>Standardabweichung:</t>
  </si>
  <si>
    <t>50 °C</t>
  </si>
  <si>
    <t>20 °C (Kal.)</t>
  </si>
  <si>
    <t>15 °C (Kal.)</t>
  </si>
  <si>
    <t>Literaturwerte</t>
  </si>
  <si>
    <t>Gaskonstante</t>
  </si>
  <si>
    <t>J · mol^-1 · K^-1</t>
  </si>
  <si>
    <t>Fehler</t>
  </si>
  <si>
    <t>PLUSMINUS</t>
  </si>
  <si>
    <t xml:space="preserve"> Viskositätskoeffizient</t>
  </si>
  <si>
    <r>
      <t>Aktivierungsenergie E</t>
    </r>
    <r>
      <rPr>
        <b/>
        <vertAlign val="subscript"/>
        <sz val="11"/>
        <color theme="1"/>
        <rFont val="Calibri"/>
        <family val="2"/>
        <scheme val="minor"/>
      </rPr>
      <t>A</t>
    </r>
  </si>
  <si>
    <t>J/Mol</t>
  </si>
  <si>
    <r>
      <t>Kinematische Viskosität [m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/s]</t>
    </r>
  </si>
  <si>
    <t>Fehler (+/-)</t>
  </si>
  <si>
    <t>[m²/s²]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</si>
</sst>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30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4" xfId="0" applyBorder="1"/>
    <xf numFmtId="0" fontId="0" fillId="2" borderId="4" xfId="0" applyFill="1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1" xfId="0" applyBorder="1"/>
    <xf numFmtId="0" fontId="1" fillId="0" borderId="6" xfId="0" applyFont="1" applyBorder="1" applyAlignment="1">
      <alignment horizontal="center"/>
    </xf>
    <xf numFmtId="0" fontId="1" fillId="0" borderId="3" xfId="0" applyFont="1" applyFill="1" applyBorder="1"/>
    <xf numFmtId="0" fontId="1" fillId="0" borderId="8" xfId="0" applyFont="1" applyFill="1" applyBorder="1"/>
    <xf numFmtId="0" fontId="1" fillId="0" borderId="7" xfId="0" applyFont="1" applyBorder="1" applyAlignment="1"/>
    <xf numFmtId="0" fontId="2" fillId="0" borderId="0" xfId="0" applyFont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0" xfId="0" applyFont="1" applyFill="1" applyBorder="1"/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baseline="0">
                <a:effectLst/>
              </a:rPr>
              <a:t>Messreihe Wasser</a:t>
            </a:r>
            <a:endParaRPr lang="de-DE" sz="12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Tabelle1!$S$20</c:f>
              <c:strCache>
                <c:ptCount val="1"/>
                <c:pt idx="0">
                  <c:v>ln(η) Wasser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8353783902012238"/>
                  <c:y val="-0.21265091863517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Tabelle1!$R$21:$R$27</c:f>
              <c:numCache>
                <c:formatCode>General</c:formatCode>
                <c:ptCount val="7"/>
                <c:pt idx="0">
                  <c:v>3.5951824555096176E-3</c:v>
                </c:pt>
                <c:pt idx="1">
                  <c:v>3.5442140705298601E-3</c:v>
                </c:pt>
                <c:pt idx="2">
                  <c:v>3.4825004353125546E-3</c:v>
                </c:pt>
                <c:pt idx="3">
                  <c:v>3.4054146092286739E-3</c:v>
                </c:pt>
                <c:pt idx="4">
                  <c:v>3.298697014679202E-3</c:v>
                </c:pt>
                <c:pt idx="5">
                  <c:v>3.1933578157432542E-3</c:v>
                </c:pt>
                <c:pt idx="6">
                  <c:v>3.0945381401825778E-3</c:v>
                </c:pt>
              </c:numCache>
            </c:numRef>
          </c:xVal>
          <c:yVal>
            <c:numRef>
              <c:f>Tabelle1!$S$21:$S$27</c:f>
              <c:numCache>
                <c:formatCode>General</c:formatCode>
                <c:ptCount val="7"/>
                <c:pt idx="0">
                  <c:v>-6.5385464053348308</c:v>
                </c:pt>
                <c:pt idx="1">
                  <c:v>-6.6685797097293964</c:v>
                </c:pt>
                <c:pt idx="2">
                  <c:v>-6.7784829432779983</c:v>
                </c:pt>
                <c:pt idx="3">
                  <c:v>-6.9057572763194637</c:v>
                </c:pt>
                <c:pt idx="4">
                  <c:v>-7.1296813296452166</c:v>
                </c:pt>
                <c:pt idx="5">
                  <c:v>-7.3301088261871605</c:v>
                </c:pt>
                <c:pt idx="6">
                  <c:v>-7.5034517809935011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BB-4DF6-A77E-D1BF82423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9492368"/>
        <c:axId val="1953968384"/>
      </c:scatterChart>
      <c:valAx>
        <c:axId val="194949236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1/T [K]</a:t>
                </a:r>
                <a:endParaRPr lang="de-D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53968384"/>
        <c:crosses val="autoZero"/>
        <c:crossBetween val="midCat"/>
      </c:valAx>
      <c:valAx>
        <c:axId val="19539683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ln(</a:t>
                </a:r>
                <a:r>
                  <a:rPr lang="el-GR" sz="1000" b="0" i="0" baseline="0">
                    <a:effectLst/>
                  </a:rPr>
                  <a:t>η</a:t>
                </a:r>
                <a:r>
                  <a:rPr lang="de-DE" sz="1000" b="0" i="0" baseline="0">
                    <a:effectLst/>
                  </a:rPr>
                  <a:t>)</a:t>
                </a:r>
                <a:endParaRPr lang="de-D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949492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Messreihe Glycerin</a:t>
            </a:r>
            <a:endParaRPr lang="en-US" baseline="-25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Tabelle1!$T$20</c:f>
              <c:strCache>
                <c:ptCount val="1"/>
                <c:pt idx="0">
                  <c:v>ln(η) (Glycerin)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1602602799650044"/>
                  <c:y val="-0.2601035287255759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Tabelle1!$R$24:$R$27</c:f>
              <c:numCache>
                <c:formatCode>General</c:formatCode>
                <c:ptCount val="4"/>
                <c:pt idx="0">
                  <c:v>3.4054146092286739E-3</c:v>
                </c:pt>
                <c:pt idx="1">
                  <c:v>3.298697014679202E-3</c:v>
                </c:pt>
                <c:pt idx="2">
                  <c:v>3.1933578157432542E-3</c:v>
                </c:pt>
                <c:pt idx="3">
                  <c:v>3.0945381401825778E-3</c:v>
                </c:pt>
              </c:numCache>
            </c:numRef>
          </c:xVal>
          <c:yVal>
            <c:numRef>
              <c:f>Tabelle1!$T$24:$T$27</c:f>
              <c:numCache>
                <c:formatCode>General</c:formatCode>
                <c:ptCount val="4"/>
                <c:pt idx="0">
                  <c:v>0.39877611995736761</c:v>
                </c:pt>
                <c:pt idx="1">
                  <c:v>-0.41755249660060328</c:v>
                </c:pt>
                <c:pt idx="2">
                  <c:v>-1.1712345124575103</c:v>
                </c:pt>
                <c:pt idx="3">
                  <c:v>-1.8258765471120579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02-4CF6-8C98-67B376D8E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4000528"/>
        <c:axId val="583998864"/>
      </c:scatterChart>
      <c:valAx>
        <c:axId val="58400052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1/T</a:t>
                </a:r>
                <a:r>
                  <a:rPr lang="de-DE" baseline="0"/>
                  <a:t> [K]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3998864"/>
        <c:crosses val="autoZero"/>
        <c:crossBetween val="midCat"/>
      </c:valAx>
      <c:valAx>
        <c:axId val="5839988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ln(</a:t>
                </a:r>
                <a:r>
                  <a:rPr lang="el-GR"/>
                  <a:t>η</a:t>
                </a:r>
                <a:r>
                  <a:rPr lang="de-DE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4000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409575</xdr:colOff>
      <xdr:row>33</xdr:row>
      <xdr:rowOff>0</xdr:rowOff>
    </xdr:from>
    <xdr:to>
      <xdr:col>9</xdr:col>
      <xdr:colOff>9525</xdr:colOff>
      <xdr:row>47</xdr:row>
      <xdr:rowOff>76200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1B0EA94-DA13-462E-A8D1-001DC9E424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9525</xdr:colOff>
      <xdr:row>33</xdr:row>
      <xdr:rowOff>9525</xdr:rowOff>
    </xdr:from>
    <xdr:to>
      <xdr:col>14</xdr:col>
      <xdr:colOff>952500</xdr:colOff>
      <xdr:row>47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16B304A-198D-46BF-A238-23058A215A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W37"/>
  <sheetViews>
    <sheetView tabSelected="1" zoomScale="85" zoomScaleNormal="85" workbookViewId="0">
      <selection activeCell="Q38" sqref="Q38"/>
    </sheetView>
  </sheetViews>
  <sheetFormatPr baseColWidth="10" defaultColWidth="9.140625" defaultRowHeight="15" x14ac:dyDescent="0.25"/>
  <cols>
    <col min="2" max="2" width="11.5703125" customWidth="1"/>
    <col min="3" max="3" width="10.85546875" customWidth="1"/>
    <col min="4" max="4" width="15.140625" customWidth="1"/>
    <col min="5" max="5" width="12" bestFit="1" customWidth="1"/>
    <col min="6" max="6" width="13.5703125" customWidth="1"/>
    <col min="9" max="9" width="9.140625" customWidth="1"/>
    <col min="10" max="10" width="16" customWidth="1"/>
    <col min="11" max="11" width="15.5703125" customWidth="1"/>
    <col min="12" max="12" width="15.28515625" customWidth="1"/>
    <col min="13" max="13" width="18.7109375" customWidth="1"/>
    <col min="14" max="14" width="17.5703125" customWidth="1"/>
    <col min="15" max="15" width="17.7109375" customWidth="1"/>
    <col min="16" max="16" width="20.85546875" customWidth="1"/>
    <col min="17" max="17" width="17.140625" customWidth="1"/>
    <col min="18" max="18" width="14.140625" customWidth="1"/>
    <col min="19" max="19" width="15.42578125" customWidth="1"/>
    <col min="20" max="21" width="12.140625" customWidth="1"/>
  </cols>
  <sheetData>
    <row r="3" spans="3:16" ht="39" x14ac:dyDescent="0.6">
      <c r="C3" s="27" t="s">
        <v>0</v>
      </c>
    </row>
    <row r="4" spans="3:16" x14ac:dyDescent="0.25">
      <c r="O4" s="21" t="s">
        <v>37</v>
      </c>
    </row>
    <row r="5" spans="3:16" x14ac:dyDescent="0.25">
      <c r="F5" s="3" t="s">
        <v>2</v>
      </c>
      <c r="G5" s="3" t="s">
        <v>10</v>
      </c>
      <c r="K5" s="26" t="s">
        <v>18</v>
      </c>
      <c r="L5" s="15"/>
      <c r="O5" s="20" t="s">
        <v>28</v>
      </c>
    </row>
    <row r="6" spans="3:16" x14ac:dyDescent="0.25">
      <c r="D6" s="2" t="s">
        <v>1</v>
      </c>
      <c r="E6" s="3" t="s">
        <v>12</v>
      </c>
      <c r="F6" s="3" t="s">
        <v>26</v>
      </c>
      <c r="G6" s="3" t="s">
        <v>26</v>
      </c>
      <c r="H6" s="3" t="s">
        <v>11</v>
      </c>
      <c r="K6" s="25" t="s">
        <v>2</v>
      </c>
      <c r="L6" s="24" t="s">
        <v>10</v>
      </c>
      <c r="N6" s="3" t="s">
        <v>22</v>
      </c>
      <c r="O6" s="3" t="s">
        <v>23</v>
      </c>
      <c r="P6" s="3" t="s">
        <v>24</v>
      </c>
    </row>
    <row r="7" spans="3:16" x14ac:dyDescent="0.25">
      <c r="E7" s="19" t="s">
        <v>3</v>
      </c>
      <c r="F7">
        <f>Tabelle2!C9</f>
        <v>150.79</v>
      </c>
      <c r="G7" s="1" t="s">
        <v>14</v>
      </c>
      <c r="H7" s="15">
        <v>278.14999999999998</v>
      </c>
      <c r="J7" s="19" t="s">
        <v>3</v>
      </c>
      <c r="K7" s="4">
        <f>1*1000</f>
        <v>1000</v>
      </c>
      <c r="L7" s="6" t="s">
        <v>14</v>
      </c>
      <c r="N7" s="4">
        <f>1.002*10^-3</f>
        <v>1.0020000000000001E-3</v>
      </c>
      <c r="O7" s="4">
        <f>1.138*10^-3</f>
        <v>1.1379999999999999E-3</v>
      </c>
      <c r="P7" s="4">
        <f>1.49</f>
        <v>1.49</v>
      </c>
    </row>
    <row r="8" spans="3:16" x14ac:dyDescent="0.25">
      <c r="E8" s="19" t="s">
        <v>4</v>
      </c>
      <c r="F8">
        <f>Tabelle2!C18</f>
        <v>132.44333333333336</v>
      </c>
      <c r="G8" s="1" t="s">
        <v>14</v>
      </c>
      <c r="H8" s="9">
        <v>282.14999999999998</v>
      </c>
      <c r="J8" s="19" t="s">
        <v>4</v>
      </c>
      <c r="K8" s="4">
        <f>0.9997*1000</f>
        <v>999.7</v>
      </c>
      <c r="L8" s="6" t="s">
        <v>14</v>
      </c>
    </row>
    <row r="9" spans="3:16" x14ac:dyDescent="0.25">
      <c r="E9" s="19" t="s">
        <v>5</v>
      </c>
      <c r="F9">
        <f>Tabelle2!C27</f>
        <v>118.73</v>
      </c>
      <c r="G9" s="1" t="s">
        <v>14</v>
      </c>
      <c r="H9" s="9">
        <v>287.14999999999998</v>
      </c>
      <c r="J9" s="19" t="s">
        <v>5</v>
      </c>
      <c r="K9" s="4">
        <f>0.9991*1000</f>
        <v>999.1</v>
      </c>
      <c r="L9" s="6" t="s">
        <v>14</v>
      </c>
      <c r="O9" s="2" t="s">
        <v>38</v>
      </c>
    </row>
    <row r="10" spans="3:16" x14ac:dyDescent="0.25">
      <c r="E10" s="19" t="s">
        <v>6</v>
      </c>
      <c r="F10">
        <f>Tabelle2!C36</f>
        <v>100.24666666666667</v>
      </c>
      <c r="G10">
        <f>Tabelle2!F9</f>
        <v>336.77666666666664</v>
      </c>
      <c r="H10" s="9">
        <v>293.64999999999998</v>
      </c>
      <c r="J10" s="19" t="s">
        <v>6</v>
      </c>
      <c r="K10" s="4">
        <f>0.9982*1000</f>
        <v>998.19999999999993</v>
      </c>
      <c r="L10" s="4">
        <f>1.2613*1000</f>
        <v>1261.3000000000002</v>
      </c>
      <c r="O10">
        <v>8.3140000000000001</v>
      </c>
      <c r="P10" t="s">
        <v>39</v>
      </c>
    </row>
    <row r="11" spans="3:16" x14ac:dyDescent="0.25">
      <c r="E11" s="19" t="s">
        <v>7</v>
      </c>
      <c r="F11">
        <f>Tabelle2!C46</f>
        <v>80.339999999999989</v>
      </c>
      <c r="G11">
        <f>Tabelle2!F18</f>
        <v>149.62</v>
      </c>
      <c r="H11" s="9">
        <v>303.14999999999998</v>
      </c>
      <c r="J11" s="19" t="s">
        <v>7</v>
      </c>
      <c r="K11" s="4">
        <f>0.99565*1000</f>
        <v>995.65000000000009</v>
      </c>
      <c r="L11" s="4">
        <f>1.255*1000</f>
        <v>1255</v>
      </c>
    </row>
    <row r="12" spans="3:16" x14ac:dyDescent="0.25">
      <c r="E12" s="19" t="s">
        <v>8</v>
      </c>
      <c r="F12">
        <f>Tabelle2!C55</f>
        <v>65.976666666666674</v>
      </c>
      <c r="G12">
        <f>Tabelle2!F27</f>
        <v>70.776666666666657</v>
      </c>
      <c r="H12" s="9">
        <v>313.14999999999998</v>
      </c>
      <c r="J12" s="19" t="s">
        <v>8</v>
      </c>
      <c r="K12" s="4">
        <f>0.99221*1000</f>
        <v>992.21</v>
      </c>
      <c r="L12" s="4">
        <f>1.2486*1000</f>
        <v>1248.5999999999999</v>
      </c>
    </row>
    <row r="13" spans="3:16" x14ac:dyDescent="0.25">
      <c r="E13" s="19" t="s">
        <v>9</v>
      </c>
      <c r="F13" s="13">
        <f>Tabelle2!C65</f>
        <v>55.71</v>
      </c>
      <c r="G13" s="8">
        <f>Tabelle2!F36</f>
        <v>36.97</v>
      </c>
      <c r="H13" s="11">
        <v>323.14999999999998</v>
      </c>
      <c r="J13" s="19" t="s">
        <v>9</v>
      </c>
      <c r="K13" s="4">
        <f>0.98805*1000</f>
        <v>988.05</v>
      </c>
      <c r="L13" s="4">
        <f>1.2421*1000</f>
        <v>1242.0999999999999</v>
      </c>
    </row>
    <row r="18" spans="4:23" x14ac:dyDescent="0.25">
      <c r="D18" s="2" t="s">
        <v>15</v>
      </c>
      <c r="E18" t="s">
        <v>16</v>
      </c>
      <c r="I18" s="2" t="s">
        <v>42</v>
      </c>
      <c r="K18" s="2" t="s">
        <v>25</v>
      </c>
    </row>
    <row r="19" spans="4:23" x14ac:dyDescent="0.25">
      <c r="E19" s="2" t="s">
        <v>17</v>
      </c>
    </row>
    <row r="20" spans="4:23" ht="18.75" x14ac:dyDescent="0.35">
      <c r="D20" s="31" t="s">
        <v>47</v>
      </c>
      <c r="F20" s="2" t="s">
        <v>46</v>
      </c>
      <c r="J20" s="3" t="s">
        <v>2</v>
      </c>
      <c r="K20" s="3" t="s">
        <v>10</v>
      </c>
      <c r="L20" s="2" t="s">
        <v>2</v>
      </c>
      <c r="M20" s="2" t="s">
        <v>10</v>
      </c>
      <c r="N20" s="2" t="s">
        <v>45</v>
      </c>
      <c r="O20" s="2"/>
      <c r="R20" s="5" t="s">
        <v>29</v>
      </c>
      <c r="S20" s="5" t="s">
        <v>30</v>
      </c>
      <c r="T20" s="5" t="s">
        <v>31</v>
      </c>
      <c r="U20" s="29"/>
      <c r="V20" s="30" t="s">
        <v>43</v>
      </c>
    </row>
    <row r="21" spans="4:23" x14ac:dyDescent="0.25">
      <c r="D21" s="23" t="s">
        <v>19</v>
      </c>
      <c r="E21" s="22">
        <f>(N7)/(K10*F10)</f>
        <v>1.0013368880104425E-8</v>
      </c>
      <c r="F21">
        <f>E21*(Tabelle2!C39/Tabelle2!C36)</f>
        <v>1.5196152908549347E-11</v>
      </c>
      <c r="I21" s="3" t="s">
        <v>12</v>
      </c>
      <c r="J21" s="3" t="s">
        <v>27</v>
      </c>
      <c r="K21" s="3" t="s">
        <v>27</v>
      </c>
      <c r="L21" s="30" t="s">
        <v>46</v>
      </c>
      <c r="M21" s="30" t="s">
        <v>46</v>
      </c>
      <c r="N21" s="2" t="s">
        <v>2</v>
      </c>
      <c r="O21" s="30" t="s">
        <v>40</v>
      </c>
      <c r="P21" s="2" t="s">
        <v>10</v>
      </c>
      <c r="Q21" s="30" t="s">
        <v>40</v>
      </c>
      <c r="R21" s="4">
        <f>1/H7</f>
        <v>3.5951824555096176E-3</v>
      </c>
      <c r="S21">
        <f>LN(J22)</f>
        <v>-6.5385464053348308</v>
      </c>
      <c r="T21" s="17" t="s">
        <v>14</v>
      </c>
      <c r="U21" t="s">
        <v>2</v>
      </c>
      <c r="V21">
        <f>O10*1910.9</f>
        <v>15887.222600000001</v>
      </c>
      <c r="W21" t="s">
        <v>44</v>
      </c>
    </row>
    <row r="22" spans="4:23" x14ac:dyDescent="0.25">
      <c r="D22" s="23" t="s">
        <v>20</v>
      </c>
      <c r="E22" s="22">
        <f>(O7)/(K9*F9)</f>
        <v>9.5934062377693007E-9</v>
      </c>
      <c r="F22">
        <f>E22*(Tabelle2!C30/Tabelle2!C27)</f>
        <v>2.3589411376926284E-11</v>
      </c>
      <c r="I22" s="3" t="s">
        <v>3</v>
      </c>
      <c r="J22">
        <f>E22*K7*F7</f>
        <v>1.4465897265932327E-3</v>
      </c>
      <c r="K22" s="17" t="s">
        <v>14</v>
      </c>
      <c r="L22">
        <f>J22*(Tabelle2!C12/Tabelle2!C9)</f>
        <v>4.8599227686829104E-6</v>
      </c>
      <c r="M22" s="1" t="s">
        <v>14</v>
      </c>
      <c r="N22">
        <f t="shared" ref="N22:N28" si="0">J22/K7</f>
        <v>1.4465897265932327E-6</v>
      </c>
      <c r="O22">
        <f>($E$22*Tabelle2!C12)+(Tabelle1!$F$22*Tabelle2!C9)</f>
        <v>8.4169701102096245E-9</v>
      </c>
      <c r="P22" s="1" t="s">
        <v>14</v>
      </c>
      <c r="R22" s="4">
        <f>1/H8</f>
        <v>3.5442140705298601E-3</v>
      </c>
      <c r="S22">
        <f>LN(J23)</f>
        <v>-6.6685797097293964</v>
      </c>
      <c r="T22" s="18" t="s">
        <v>14</v>
      </c>
      <c r="U22" t="s">
        <v>10</v>
      </c>
      <c r="V22">
        <f>O10*7159.8</f>
        <v>59526.5772</v>
      </c>
      <c r="W22" t="s">
        <v>44</v>
      </c>
    </row>
    <row r="23" spans="4:23" x14ac:dyDescent="0.25">
      <c r="I23" s="3" t="s">
        <v>4</v>
      </c>
      <c r="J23">
        <f>E22*K8*F8</f>
        <v>1.2702015253409137E-3</v>
      </c>
      <c r="K23" s="18" t="s">
        <v>14</v>
      </c>
      <c r="L23">
        <f>J23*(Tabelle2!C21/Tabelle2!C18)</f>
        <v>5.1302105163516847E-6</v>
      </c>
      <c r="M23" s="1" t="s">
        <v>14</v>
      </c>
      <c r="N23">
        <f t="shared" si="0"/>
        <v>1.2705827001509589E-6</v>
      </c>
      <c r="O23">
        <f>($E$22*Tabelle2!C21)+(Tabelle1!$F$22*Tabelle2!C18)</f>
        <v>8.2560103154954681E-9</v>
      </c>
      <c r="P23" s="1" t="s">
        <v>14</v>
      </c>
      <c r="R23" s="4">
        <f>1/H9</f>
        <v>3.4825004353125546E-3</v>
      </c>
      <c r="S23">
        <f>LN(J24)</f>
        <v>-6.7784829432779983</v>
      </c>
      <c r="T23" s="18" t="s">
        <v>14</v>
      </c>
    </row>
    <row r="24" spans="4:23" x14ac:dyDescent="0.25">
      <c r="I24" s="3" t="s">
        <v>5</v>
      </c>
      <c r="J24">
        <f>E22*K9*F9</f>
        <v>1.1379999999999997E-3</v>
      </c>
      <c r="K24" s="18" t="s">
        <v>14</v>
      </c>
      <c r="L24">
        <f>J24*(Tabelle2!C30/Tabelle2!C27)</f>
        <v>2.7982501190509532E-6</v>
      </c>
      <c r="M24" s="1" t="s">
        <v>14</v>
      </c>
      <c r="N24">
        <f t="shared" si="0"/>
        <v>1.139025122610349E-6</v>
      </c>
      <c r="O24">
        <f>($E$22*Tabelle2!C30)+(Tabelle1!$F$22*Tabelle2!C27)</f>
        <v>5.6015416255649157E-9</v>
      </c>
      <c r="P24" s="1" t="s">
        <v>14</v>
      </c>
      <c r="R24" s="4">
        <f>1/H10</f>
        <v>3.4054146092286739E-3</v>
      </c>
      <c r="S24">
        <f>LN(J25)</f>
        <v>-6.9057572763194637</v>
      </c>
      <c r="T24" s="9">
        <f>LN(K25)</f>
        <v>0.39877611995736761</v>
      </c>
    </row>
    <row r="25" spans="4:23" x14ac:dyDescent="0.25">
      <c r="D25" s="23" t="s">
        <v>21</v>
      </c>
      <c r="E25" s="22">
        <f>(P7)/(L10*G10)</f>
        <v>3.5077277506282481E-6</v>
      </c>
      <c r="F25">
        <f>E25*(Tabelle2!F12/Tabelle2!F9)</f>
        <v>6.164390995926145E-9</v>
      </c>
      <c r="I25" s="3" t="s">
        <v>6</v>
      </c>
      <c r="J25">
        <f>E21*K10*F10</f>
        <v>1.0020000000000001E-3</v>
      </c>
      <c r="K25" s="9">
        <f>E25*L10*G10</f>
        <v>1.4899999999999998</v>
      </c>
      <c r="L25">
        <f>J25*(Tabelle2!C39/Tabelle2!C36)</f>
        <v>1.5206216206236132E-6</v>
      </c>
      <c r="M25">
        <f>K25*(Tabelle2!F12/Tabelle2!F9)</f>
        <v>2.6184878750310351E-3</v>
      </c>
      <c r="N25">
        <f t="shared" si="0"/>
        <v>1.0038068523342016E-6</v>
      </c>
      <c r="O25">
        <f>($E$21*Tabelle2!C39)+($F$21*Tabelle2!C36)</f>
        <v>3.0467273504780871E-9</v>
      </c>
      <c r="P25">
        <f>K25/L10</f>
        <v>1.1813208594307458E-3</v>
      </c>
      <c r="Q25">
        <f>($E$25*Tabelle2!F12)+($F$25*Tabelle2!F9)</f>
        <v>4.1520461032760407E-6</v>
      </c>
      <c r="R25" s="4">
        <f>1/H11</f>
        <v>3.298697014679202E-3</v>
      </c>
      <c r="S25">
        <f>LN(J26)</f>
        <v>-7.1296813296452166</v>
      </c>
      <c r="T25" s="9">
        <f>LN(K26)</f>
        <v>-0.41755249660060328</v>
      </c>
    </row>
    <row r="26" spans="4:23" x14ac:dyDescent="0.25">
      <c r="I26" s="3" t="s">
        <v>7</v>
      </c>
      <c r="J26">
        <f>E21*F11*K11</f>
        <v>8.0097459368473948E-4</v>
      </c>
      <c r="K26" s="9">
        <f>E25*L11*G11</f>
        <v>0.65865691369149315</v>
      </c>
      <c r="L26">
        <f>J26*(Tabelle2!C49/Tabelle2!C46)</f>
        <v>1.5229137437961902E-7</v>
      </c>
      <c r="M26">
        <f>K26*(Tabelle2!F21/Tabelle2!F18)</f>
        <v>6.7675596853423677E-4</v>
      </c>
      <c r="N26">
        <f t="shared" si="0"/>
        <v>8.0447405582758941E-7</v>
      </c>
      <c r="O26">
        <f>($E$21*Tabelle2!C49)+($F$21*Tabelle2!C46)</f>
        <v>1.3738156608548651E-9</v>
      </c>
      <c r="P26">
        <f>K26/L11</f>
        <v>5.2482622604899858E-4</v>
      </c>
      <c r="Q26">
        <f>($E$25*Tabelle2!F213)+($F$25*Tabelle2!F18)</f>
        <v>9.2231618081046979E-7</v>
      </c>
      <c r="R26" s="4">
        <f>1/H12</f>
        <v>3.1933578157432542E-3</v>
      </c>
      <c r="S26">
        <f>LN(J27)</f>
        <v>-7.3301088261871605</v>
      </c>
      <c r="T26" s="9">
        <f>LN(K27)</f>
        <v>-1.1712345124575103</v>
      </c>
    </row>
    <row r="27" spans="4:23" x14ac:dyDescent="0.25">
      <c r="I27" s="3" t="s">
        <v>8</v>
      </c>
      <c r="J27">
        <f>E21*K12*F12</f>
        <v>6.5550224743368961E-4</v>
      </c>
      <c r="K27" s="9">
        <f>E25*L12*G12</f>
        <v>0.30998402581567081</v>
      </c>
      <c r="L27">
        <f>J27*(Tabelle2!C58/Tabelle2!C55)</f>
        <v>3.3117882455111651E-8</v>
      </c>
      <c r="M27">
        <f>K27*(Tabelle2!F30/Tabelle2!F27)</f>
        <v>1.863896344867056E-4</v>
      </c>
      <c r="N27">
        <f t="shared" si="0"/>
        <v>6.6064870081302301E-7</v>
      </c>
      <c r="O27">
        <f>($E$21*Tabelle2!C58)+($F$21*Tabelle2!C55)</f>
        <v>1.0359694113300894E-9</v>
      </c>
      <c r="P27">
        <f>K27/L12</f>
        <v>2.4826527776363193E-4</v>
      </c>
      <c r="Q27">
        <f>($E$25*Tabelle2!F30)+($F$25*Tabelle2!F27)</f>
        <v>5.8557394667898276E-7</v>
      </c>
      <c r="R27" s="4">
        <f>1/H13</f>
        <v>3.0945381401825778E-3</v>
      </c>
      <c r="S27">
        <f>LN(J28)</f>
        <v>-7.5034517809935011</v>
      </c>
      <c r="T27" s="11">
        <f>LN(K28)</f>
        <v>-1.8258765471120579</v>
      </c>
    </row>
    <row r="28" spans="4:23" x14ac:dyDescent="0.25">
      <c r="I28" s="3" t="s">
        <v>9</v>
      </c>
      <c r="J28" s="13">
        <f>E21*K13*F13</f>
        <v>5.5117853518590562E-4</v>
      </c>
      <c r="K28" s="11">
        <f>E25*L13*G13</f>
        <v>0.16107639118587619</v>
      </c>
      <c r="L28">
        <f>J28*(Tabelle2!C68/Tabelle2!C65)</f>
        <v>2.7281054495413268E-6</v>
      </c>
      <c r="M28">
        <f>K28*(Tabelle2!F39/Tabelle2!F36)</f>
        <v>3.0498640473386826E-4</v>
      </c>
      <c r="N28">
        <f t="shared" si="0"/>
        <v>5.5784478031061757E-7</v>
      </c>
      <c r="O28">
        <f>($E$21*Tabelle2!C68)+($F$21*Tabelle2!C65)</f>
        <v>3.6076782802673091E-9</v>
      </c>
      <c r="P28">
        <f>K28/L13</f>
        <v>1.2968069494072635E-4</v>
      </c>
      <c r="Q28">
        <f>($E$25*Tabelle2!F39)+($F$25*Tabelle2!F36)</f>
        <v>4.7343847766336202E-7</v>
      </c>
      <c r="R28" s="3" t="s">
        <v>32</v>
      </c>
      <c r="S28" s="7">
        <v>0.998</v>
      </c>
      <c r="T28" s="4">
        <v>0.999</v>
      </c>
    </row>
    <row r="33" spans="17:20" x14ac:dyDescent="0.25">
      <c r="Q33" t="s">
        <v>2</v>
      </c>
      <c r="S33" t="s">
        <v>10</v>
      </c>
    </row>
    <row r="34" spans="17:20" x14ac:dyDescent="0.25">
      <c r="Q34">
        <f t="array" ref="Q34:R35">LINEST(S21:S27,R21:R27,1,1)</f>
        <v>1910.8724614889959</v>
      </c>
      <c r="R34">
        <v>-13.42539545249562</v>
      </c>
      <c r="S34">
        <f t="array" ref="S34:T35">LINEST(T24:T27,R24:R27,1,1)</f>
        <v>7159.7907098837477</v>
      </c>
      <c r="T34">
        <v>-24.008985652261355</v>
      </c>
    </row>
    <row r="35" spans="17:20" x14ac:dyDescent="0.25">
      <c r="Q35">
        <v>29.894388609956241</v>
      </c>
      <c r="R35">
        <v>0.10097715254058008</v>
      </c>
      <c r="S35">
        <v>160.15683389491068</v>
      </c>
      <c r="T35">
        <v>0.52052172853233725</v>
      </c>
    </row>
    <row r="37" spans="17:20" x14ac:dyDescent="0.25">
      <c r="Q37">
        <f>Q35*O10</f>
        <v>248.54194690317618</v>
      </c>
      <c r="S37">
        <f>S35*O10</f>
        <v>1331.5439170022873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E2FC-403C-4893-BB96-851E5FB85DC3}">
  <dimension ref="B5:H68"/>
  <sheetViews>
    <sheetView topLeftCell="A10" zoomScaleNormal="100" workbookViewId="0">
      <selection activeCell="C49" sqref="C49"/>
    </sheetView>
  </sheetViews>
  <sheetFormatPr baseColWidth="10" defaultRowHeight="15" x14ac:dyDescent="0.25"/>
  <cols>
    <col min="2" max="2" width="20.140625" customWidth="1"/>
    <col min="4" max="4" width="11.42578125" customWidth="1"/>
    <col min="5" max="5" width="22.42578125" customWidth="1"/>
  </cols>
  <sheetData>
    <row r="5" spans="2:6" x14ac:dyDescent="0.25">
      <c r="C5" s="3" t="s">
        <v>2</v>
      </c>
      <c r="F5" s="3" t="s">
        <v>10</v>
      </c>
    </row>
    <row r="6" spans="2:6" x14ac:dyDescent="0.25">
      <c r="B6" s="3" t="s">
        <v>3</v>
      </c>
      <c r="C6" s="15">
        <v>151.74</v>
      </c>
      <c r="E6" s="3" t="s">
        <v>35</v>
      </c>
      <c r="F6" s="9">
        <v>336.16</v>
      </c>
    </row>
    <row r="7" spans="2:6" x14ac:dyDescent="0.25">
      <c r="B7" s="12"/>
      <c r="C7" s="9">
        <v>150.62</v>
      </c>
      <c r="E7" s="12"/>
      <c r="F7" s="9">
        <v>336.21</v>
      </c>
    </row>
    <row r="8" spans="2:6" x14ac:dyDescent="0.25">
      <c r="B8" s="14"/>
      <c r="C8" s="9">
        <v>150.01</v>
      </c>
      <c r="E8" s="14"/>
      <c r="F8" s="9">
        <v>337.96</v>
      </c>
    </row>
    <row r="9" spans="2:6" x14ac:dyDescent="0.25">
      <c r="B9" s="3" t="s">
        <v>13</v>
      </c>
      <c r="C9" s="10">
        <f>AVERAGE(C6:C8)</f>
        <v>150.79</v>
      </c>
      <c r="E9" s="3" t="s">
        <v>13</v>
      </c>
      <c r="F9" s="10">
        <f>AVERAGE(F6:F8)</f>
        <v>336.77666666666664</v>
      </c>
    </row>
    <row r="10" spans="2:6" x14ac:dyDescent="0.25">
      <c r="B10" s="3" t="s">
        <v>33</v>
      </c>
      <c r="C10" s="11">
        <f>STDEVP(C6:C8)</f>
        <v>0.71642631628568521</v>
      </c>
      <c r="E10" s="3" t="s">
        <v>33</v>
      </c>
      <c r="F10" s="11">
        <f>STDEVP(F6:F8)</f>
        <v>0.83699196863263681</v>
      </c>
    </row>
    <row r="11" spans="2:6" x14ac:dyDescent="0.25">
      <c r="B11" s="28" t="s">
        <v>40</v>
      </c>
      <c r="C11">
        <f>_xlfn.STDEV.S(C6:C8)</f>
        <v>0.87743945660086142</v>
      </c>
      <c r="E11" s="28" t="s">
        <v>40</v>
      </c>
      <c r="F11">
        <f>_xlfn.STDEV.S(F6:F8)</f>
        <v>1.0251016209787718</v>
      </c>
    </row>
    <row r="12" spans="2:6" x14ac:dyDescent="0.25">
      <c r="B12" s="28" t="s">
        <v>41</v>
      </c>
      <c r="C12">
        <f>C11/SQRT(3)</f>
        <v>0.50658990646610635</v>
      </c>
      <c r="E12" s="28" t="s">
        <v>41</v>
      </c>
      <c r="F12">
        <f>F11/SQRT(3)</f>
        <v>0.59184269681881563</v>
      </c>
    </row>
    <row r="13" spans="2:6" x14ac:dyDescent="0.25">
      <c r="B13" s="28"/>
    </row>
    <row r="14" spans="2:6" x14ac:dyDescent="0.25">
      <c r="B14" s="16"/>
    </row>
    <row r="15" spans="2:6" x14ac:dyDescent="0.25">
      <c r="B15" s="3" t="s">
        <v>4</v>
      </c>
      <c r="C15" s="12">
        <v>133.5</v>
      </c>
      <c r="E15" s="3" t="s">
        <v>7</v>
      </c>
      <c r="F15" s="12">
        <v>149.65</v>
      </c>
    </row>
    <row r="16" spans="2:6" x14ac:dyDescent="0.25">
      <c r="B16" s="12"/>
      <c r="C16" s="9">
        <v>132.06</v>
      </c>
      <c r="E16" s="12"/>
      <c r="F16" s="9">
        <v>149.34</v>
      </c>
    </row>
    <row r="17" spans="2:8" x14ac:dyDescent="0.25">
      <c r="B17" s="14"/>
      <c r="C17" s="9">
        <v>131.77000000000001</v>
      </c>
      <c r="E17" s="14"/>
      <c r="F17" s="9">
        <v>149.87</v>
      </c>
    </row>
    <row r="18" spans="2:8" x14ac:dyDescent="0.25">
      <c r="B18" s="3" t="s">
        <v>13</v>
      </c>
      <c r="C18" s="10">
        <f>AVERAGE(C15:C17)</f>
        <v>132.44333333333336</v>
      </c>
      <c r="E18" s="3" t="s">
        <v>13</v>
      </c>
      <c r="F18" s="10">
        <f>AVERAGE(F15:F17)</f>
        <v>149.62</v>
      </c>
    </row>
    <row r="19" spans="2:8" x14ac:dyDescent="0.25">
      <c r="B19" s="3" t="s">
        <v>33</v>
      </c>
      <c r="C19" s="11">
        <f>STDEVP(C15:C17)</f>
        <v>0.75649777850888877</v>
      </c>
      <c r="E19" s="3" t="s">
        <v>33</v>
      </c>
      <c r="F19" s="11">
        <f>STDEVP(F15:F17)</f>
        <v>0.21740898478827159</v>
      </c>
    </row>
    <row r="20" spans="2:8" x14ac:dyDescent="0.25">
      <c r="B20" s="28" t="s">
        <v>40</v>
      </c>
      <c r="C20">
        <f>_xlfn.STDEV.S(C15:C17)</f>
        <v>0.92651677444789182</v>
      </c>
      <c r="E20" s="28" t="s">
        <v>40</v>
      </c>
      <c r="F20">
        <f>_xlfn.STDEV.S(F15:F17)</f>
        <v>0.26627053911388759</v>
      </c>
    </row>
    <row r="21" spans="2:8" x14ac:dyDescent="0.25">
      <c r="B21" s="28" t="s">
        <v>41</v>
      </c>
      <c r="C21">
        <f>C20/SQRT(3)</f>
        <v>0.53492470913619417</v>
      </c>
      <c r="E21" s="28" t="s">
        <v>41</v>
      </c>
      <c r="F21">
        <f>F20/SQRT(3)</f>
        <v>0.15373136743466978</v>
      </c>
    </row>
    <row r="22" spans="2:8" x14ac:dyDescent="0.25">
      <c r="B22" s="16"/>
    </row>
    <row r="23" spans="2:8" x14ac:dyDescent="0.25">
      <c r="B23" s="16"/>
    </row>
    <row r="24" spans="2:8" x14ac:dyDescent="0.25">
      <c r="B24" s="3" t="s">
        <v>36</v>
      </c>
      <c r="C24" s="12">
        <v>119.25</v>
      </c>
      <c r="E24" s="3" t="s">
        <v>8</v>
      </c>
      <c r="F24" s="12">
        <v>70.86</v>
      </c>
    </row>
    <row r="25" spans="2:8" x14ac:dyDescent="0.25">
      <c r="B25" s="12"/>
      <c r="C25" s="9">
        <v>118.7</v>
      </c>
      <c r="E25" s="12"/>
      <c r="F25" s="9">
        <v>70.72</v>
      </c>
    </row>
    <row r="26" spans="2:8" x14ac:dyDescent="0.25">
      <c r="B26" s="14"/>
      <c r="C26" s="9">
        <v>118.24</v>
      </c>
      <c r="E26" s="14"/>
      <c r="F26" s="9">
        <v>70.75</v>
      </c>
    </row>
    <row r="27" spans="2:8" x14ac:dyDescent="0.25">
      <c r="B27" s="3" t="s">
        <v>13</v>
      </c>
      <c r="C27" s="10">
        <f>AVERAGE(C24:C26)</f>
        <v>118.73</v>
      </c>
      <c r="E27" s="3" t="s">
        <v>13</v>
      </c>
      <c r="F27" s="10">
        <f>AVERAGE(F24:F26)</f>
        <v>70.776666666666657</v>
      </c>
    </row>
    <row r="28" spans="2:8" x14ac:dyDescent="0.25">
      <c r="B28" s="3" t="s">
        <v>33</v>
      </c>
      <c r="C28" s="11">
        <f>STDEVP(C24:C26)</f>
        <v>0.41287609117829566</v>
      </c>
      <c r="E28" s="3" t="s">
        <v>33</v>
      </c>
      <c r="F28" s="11">
        <f>STDEVP(F24:F26)</f>
        <v>6.0184900284226059E-2</v>
      </c>
    </row>
    <row r="29" spans="2:8" x14ac:dyDescent="0.25">
      <c r="B29" s="28" t="s">
        <v>40</v>
      </c>
      <c r="C29">
        <f>_xlfn.STDEV.S(C24:C26)</f>
        <v>0.50566787519082368</v>
      </c>
      <c r="E29" s="28" t="s">
        <v>40</v>
      </c>
      <c r="F29">
        <f>_xlfn.STDEV.S(F24:F26)</f>
        <v>7.3711147958320053E-2</v>
      </c>
      <c r="H29" s="16"/>
    </row>
    <row r="30" spans="2:8" x14ac:dyDescent="0.25">
      <c r="B30" s="28" t="s">
        <v>41</v>
      </c>
      <c r="C30">
        <f>C29/SQRT(3)</f>
        <v>0.29194748386196817</v>
      </c>
      <c r="E30" s="28" t="s">
        <v>41</v>
      </c>
      <c r="F30">
        <f>F29/SQRT(3)</f>
        <v>4.2557151116012416E-2</v>
      </c>
    </row>
    <row r="31" spans="2:8" x14ac:dyDescent="0.25">
      <c r="B31" s="16"/>
    </row>
    <row r="32" spans="2:8" x14ac:dyDescent="0.25">
      <c r="B32" s="16"/>
    </row>
    <row r="33" spans="2:6" x14ac:dyDescent="0.25">
      <c r="B33" s="3" t="s">
        <v>35</v>
      </c>
      <c r="C33" s="12">
        <v>100.54</v>
      </c>
      <c r="E33" s="3" t="s">
        <v>34</v>
      </c>
      <c r="F33" s="12">
        <v>36.840000000000003</v>
      </c>
    </row>
    <row r="34" spans="2:6" x14ac:dyDescent="0.25">
      <c r="B34" s="12"/>
      <c r="C34" s="9">
        <v>100.03</v>
      </c>
      <c r="E34" s="12"/>
      <c r="F34" s="9">
        <v>37.08</v>
      </c>
    </row>
    <row r="35" spans="2:6" x14ac:dyDescent="0.25">
      <c r="B35" s="14"/>
      <c r="C35" s="9">
        <v>100.17</v>
      </c>
      <c r="E35" s="14"/>
      <c r="F35" s="9">
        <v>36.99</v>
      </c>
    </row>
    <row r="36" spans="2:6" x14ac:dyDescent="0.25">
      <c r="B36" s="3" t="s">
        <v>13</v>
      </c>
      <c r="C36" s="10">
        <f>AVERAGE(C33:C35)</f>
        <v>100.24666666666667</v>
      </c>
      <c r="E36" s="3" t="s">
        <v>13</v>
      </c>
      <c r="F36" s="10">
        <f>AVERAGE(F33:F35)</f>
        <v>36.97</v>
      </c>
    </row>
    <row r="37" spans="2:6" x14ac:dyDescent="0.25">
      <c r="B37" s="3" t="s">
        <v>33</v>
      </c>
      <c r="C37" s="11">
        <f>STDEVP(C33:C35)</f>
        <v>0.21514852750806793</v>
      </c>
      <c r="E37" s="3" t="s">
        <v>33</v>
      </c>
      <c r="F37" s="11">
        <f>STDEVP(F33:F35)</f>
        <v>9.8994949366114665E-2</v>
      </c>
    </row>
    <row r="38" spans="2:6" x14ac:dyDescent="0.25">
      <c r="B38" s="28" t="s">
        <v>40</v>
      </c>
      <c r="C38">
        <f>_xlfn.STDEV.S(C33:C35)</f>
        <v>0.26350205565295842</v>
      </c>
      <c r="E38" s="28" t="s">
        <v>40</v>
      </c>
      <c r="F38">
        <f>_xlfn.STDEV.S(F33:F35)</f>
        <v>0.12124355652981898</v>
      </c>
    </row>
    <row r="39" spans="2:6" x14ac:dyDescent="0.25">
      <c r="B39" s="28" t="s">
        <v>41</v>
      </c>
      <c r="C39">
        <f>C38/SQRT(3)</f>
        <v>0.15213298276325529</v>
      </c>
      <c r="E39" s="28" t="s">
        <v>41</v>
      </c>
      <c r="F39">
        <f>F38/SQRT(3)</f>
        <v>6.9999999999998605E-2</v>
      </c>
    </row>
    <row r="40" spans="2:6" x14ac:dyDescent="0.25">
      <c r="B40" s="16"/>
    </row>
    <row r="41" spans="2:6" x14ac:dyDescent="0.25">
      <c r="B41" s="16"/>
    </row>
    <row r="42" spans="2:6" x14ac:dyDescent="0.25">
      <c r="B42" s="16"/>
    </row>
    <row r="43" spans="2:6" x14ac:dyDescent="0.25">
      <c r="B43" s="3" t="s">
        <v>7</v>
      </c>
      <c r="C43" s="12">
        <v>80.37</v>
      </c>
    </row>
    <row r="44" spans="2:6" x14ac:dyDescent="0.25">
      <c r="B44" s="12"/>
      <c r="C44" s="9">
        <v>80.319999999999993</v>
      </c>
    </row>
    <row r="45" spans="2:6" x14ac:dyDescent="0.25">
      <c r="B45" s="14"/>
      <c r="C45" s="9">
        <v>80.33</v>
      </c>
    </row>
    <row r="46" spans="2:6" x14ac:dyDescent="0.25">
      <c r="B46" s="3" t="s">
        <v>13</v>
      </c>
      <c r="C46" s="10">
        <f>AVERAGE(C43:C45)</f>
        <v>80.339999999999989</v>
      </c>
    </row>
    <row r="47" spans="2:6" x14ac:dyDescent="0.25">
      <c r="B47" s="3" t="s">
        <v>33</v>
      </c>
      <c r="C47" s="11">
        <f>STDEVP(C43:C45)</f>
        <v>2.1602468994697342E-2</v>
      </c>
    </row>
    <row r="48" spans="2:6" x14ac:dyDescent="0.25">
      <c r="B48" s="28" t="s">
        <v>40</v>
      </c>
      <c r="C48">
        <f>_xlfn.STDEV.S(C43:C45)</f>
        <v>2.6457513110651386E-2</v>
      </c>
    </row>
    <row r="49" spans="2:3" x14ac:dyDescent="0.25">
      <c r="B49" s="28" t="s">
        <v>41</v>
      </c>
      <c r="C49">
        <f>C48/SQRT(3)</f>
        <v>1.5275252316522631E-2</v>
      </c>
    </row>
    <row r="50" spans="2:3" x14ac:dyDescent="0.25">
      <c r="B50" s="16"/>
    </row>
    <row r="51" spans="2:3" x14ac:dyDescent="0.25">
      <c r="B51" s="16"/>
    </row>
    <row r="52" spans="2:3" x14ac:dyDescent="0.25">
      <c r="B52" s="3" t="s">
        <v>8</v>
      </c>
      <c r="C52" s="12">
        <v>65.98</v>
      </c>
    </row>
    <row r="53" spans="2:3" x14ac:dyDescent="0.25">
      <c r="B53" s="12"/>
      <c r="C53" s="9">
        <v>65.97</v>
      </c>
    </row>
    <row r="54" spans="2:3" x14ac:dyDescent="0.25">
      <c r="B54" s="14"/>
      <c r="C54" s="9">
        <v>65.98</v>
      </c>
    </row>
    <row r="55" spans="2:3" x14ac:dyDescent="0.25">
      <c r="B55" s="3" t="s">
        <v>13</v>
      </c>
      <c r="C55" s="10">
        <f>AVERAGE(C52:C54)</f>
        <v>65.976666666666674</v>
      </c>
    </row>
    <row r="56" spans="2:3" x14ac:dyDescent="0.25">
      <c r="B56" s="3" t="s">
        <v>33</v>
      </c>
      <c r="C56" s="14">
        <f>STDEVP(C52:C54)</f>
        <v>4.7140452079127287E-3</v>
      </c>
    </row>
    <row r="57" spans="2:3" x14ac:dyDescent="0.25">
      <c r="B57" s="28" t="s">
        <v>40</v>
      </c>
      <c r="C57">
        <f>_xlfn.STDEV.S(C52:C54)</f>
        <v>5.7735026918992113E-3</v>
      </c>
    </row>
    <row r="58" spans="2:3" x14ac:dyDescent="0.25">
      <c r="B58" s="28" t="s">
        <v>41</v>
      </c>
      <c r="C58">
        <f>C57/SQRT(3)</f>
        <v>3.3333333333350388E-3</v>
      </c>
    </row>
    <row r="62" spans="2:3" x14ac:dyDescent="0.25">
      <c r="B62" s="3" t="s">
        <v>34</v>
      </c>
      <c r="C62" s="15">
        <v>55.4</v>
      </c>
    </row>
    <row r="63" spans="2:3" x14ac:dyDescent="0.25">
      <c r="B63" s="12"/>
      <c r="C63" s="9">
        <v>55.47</v>
      </c>
    </row>
    <row r="64" spans="2:3" x14ac:dyDescent="0.25">
      <c r="B64" s="14"/>
      <c r="C64" s="9">
        <v>56.26</v>
      </c>
    </row>
    <row r="65" spans="2:3" x14ac:dyDescent="0.25">
      <c r="B65" s="3" t="s">
        <v>13</v>
      </c>
      <c r="C65" s="10">
        <f>AVERAGE(C62:C64)</f>
        <v>55.71</v>
      </c>
    </row>
    <row r="66" spans="2:3" x14ac:dyDescent="0.25">
      <c r="B66" s="3" t="s">
        <v>33</v>
      </c>
      <c r="C66" s="14">
        <f>STDEVP(C62:C64)</f>
        <v>0.38995726261561847</v>
      </c>
    </row>
    <row r="67" spans="2:3" x14ac:dyDescent="0.25">
      <c r="B67" s="28" t="s">
        <v>40</v>
      </c>
      <c r="C67">
        <f>_xlfn.STDEV.S(C62:C64)</f>
        <v>0.47759815745038176</v>
      </c>
    </row>
    <row r="68" spans="2:3" x14ac:dyDescent="0.25">
      <c r="B68" s="28" t="s">
        <v>41</v>
      </c>
      <c r="C68">
        <f>C67/SQRT(3)</f>
        <v>0.27574142476844721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2022-01-27T14:59:16Z</dcterms:modified>
</cp:coreProperties>
</file>