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Studium\PC Praktikum\A22○\"/>
    </mc:Choice>
  </mc:AlternateContent>
  <xr:revisionPtr revIDLastSave="0" documentId="13_ncr:1_{C94CAED8-AD75-44EA-9759-18E6494F0E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7" i="1" l="1"/>
  <c r="O66" i="1"/>
  <c r="Q85" i="1"/>
  <c r="Q99" i="1"/>
  <c r="F80" i="1"/>
  <c r="O26" i="1"/>
  <c r="M26" i="1"/>
  <c r="O25" i="1"/>
  <c r="M25" i="1"/>
  <c r="I26" i="1"/>
  <c r="H26" i="1"/>
  <c r="G26" i="1"/>
  <c r="I25" i="1"/>
  <c r="H25" i="1"/>
  <c r="G25" i="1"/>
  <c r="L94" i="1"/>
  <c r="L92" i="1"/>
  <c r="L91" i="1"/>
  <c r="P96" i="1"/>
  <c r="L96" i="1"/>
  <c r="N96" i="1" s="1"/>
  <c r="Q96" i="1" s="1"/>
  <c r="P95" i="1"/>
  <c r="L95" i="1"/>
  <c r="N95" i="1" s="1"/>
  <c r="Q95" i="1" s="1"/>
  <c r="P94" i="1"/>
  <c r="N94" i="1"/>
  <c r="Q94" i="1" s="1"/>
  <c r="P93" i="1"/>
  <c r="L93" i="1"/>
  <c r="N93" i="1" s="1"/>
  <c r="Q93" i="1" s="1"/>
  <c r="P92" i="1"/>
  <c r="N92" i="1"/>
  <c r="Q92" i="1" s="1"/>
  <c r="P91" i="1"/>
  <c r="N91" i="1"/>
  <c r="Q91" i="1" s="1"/>
  <c r="P90" i="1"/>
  <c r="L90" i="1"/>
  <c r="N90" i="1" s="1"/>
  <c r="Q90" i="1" s="1"/>
  <c r="L80" i="1"/>
  <c r="Q77" i="1"/>
  <c r="Q78" i="1"/>
  <c r="Q79" i="1"/>
  <c r="P77" i="1"/>
  <c r="P78" i="1"/>
  <c r="P79" i="1"/>
  <c r="P80" i="1"/>
  <c r="P81" i="1"/>
  <c r="P82" i="1"/>
  <c r="P76" i="1"/>
  <c r="L77" i="1"/>
  <c r="N80" i="1"/>
  <c r="Q80" i="1" s="1"/>
  <c r="N81" i="1"/>
  <c r="Q81" i="1" s="1"/>
  <c r="N82" i="1"/>
  <c r="Q82" i="1" s="1"/>
  <c r="N77" i="1"/>
  <c r="N78" i="1"/>
  <c r="N79" i="1"/>
  <c r="N76" i="1"/>
  <c r="Q76" i="1" s="1"/>
  <c r="L82" i="1"/>
  <c r="L81" i="1"/>
  <c r="L79" i="1"/>
  <c r="L78" i="1"/>
  <c r="L76" i="1"/>
  <c r="G81" i="1"/>
  <c r="G82" i="1" s="1"/>
  <c r="F81" i="1"/>
  <c r="L49" i="1"/>
  <c r="O18" i="1"/>
  <c r="M9" i="1"/>
  <c r="L57" i="1"/>
  <c r="N50" i="1"/>
  <c r="L50" i="1"/>
  <c r="M18" i="1"/>
  <c r="N18" i="1"/>
  <c r="N25" i="1"/>
  <c r="L65" i="1"/>
  <c r="L66" i="1"/>
  <c r="J65" i="1"/>
  <c r="M23" i="1"/>
  <c r="N26" i="1"/>
  <c r="N23" i="1"/>
  <c r="O23" i="1"/>
  <c r="P20" i="1"/>
  <c r="J66" i="1"/>
  <c r="L56" i="1"/>
  <c r="M21" i="1"/>
  <c r="O21" i="1" s="1"/>
  <c r="P21" i="1" s="1"/>
  <c r="Q18" i="1"/>
  <c r="P18" i="1"/>
  <c r="O22" i="1"/>
  <c r="Q23" i="1"/>
  <c r="Q22" i="1"/>
  <c r="Q21" i="1"/>
  <c r="Q20" i="1"/>
  <c r="Q19" i="1"/>
  <c r="P19" i="1"/>
  <c r="P22" i="1"/>
  <c r="O19" i="1"/>
  <c r="O20" i="1"/>
  <c r="N21" i="1"/>
  <c r="N19" i="1"/>
  <c r="N20" i="1"/>
  <c r="N22" i="1"/>
  <c r="M19" i="1"/>
  <c r="M20" i="1"/>
  <c r="M22" i="1"/>
  <c r="M14" i="1"/>
  <c r="M12" i="1"/>
  <c r="N12" i="1"/>
  <c r="Q6" i="1"/>
  <c r="J10" i="1"/>
  <c r="N13" i="1"/>
  <c r="M10" i="1"/>
  <c r="N10" i="1" s="1"/>
  <c r="M11" i="1"/>
  <c r="N11" i="1" s="1"/>
  <c r="M13" i="1"/>
  <c r="M15" i="1"/>
  <c r="N9" i="1"/>
  <c r="K9" i="1"/>
  <c r="J11" i="1"/>
  <c r="J12" i="1"/>
  <c r="J13" i="1"/>
  <c r="J14" i="1"/>
  <c r="J15" i="1"/>
  <c r="J18" i="1"/>
  <c r="J19" i="1"/>
  <c r="J20" i="1"/>
  <c r="J21" i="1"/>
  <c r="J22" i="1"/>
  <c r="J23" i="1"/>
  <c r="J25" i="1"/>
  <c r="J26" i="1"/>
  <c r="J9" i="1"/>
  <c r="K10" i="1"/>
  <c r="K11" i="1"/>
  <c r="K12" i="1"/>
  <c r="K13" i="1"/>
  <c r="K14" i="1"/>
  <c r="K15" i="1"/>
  <c r="K18" i="1"/>
  <c r="K19" i="1"/>
  <c r="K20" i="1"/>
  <c r="K21" i="1"/>
  <c r="K22" i="1"/>
  <c r="K23" i="1"/>
  <c r="K25" i="1"/>
  <c r="K26" i="1"/>
  <c r="N14" i="1"/>
  <c r="N15" i="1"/>
  <c r="P25" i="1" l="1"/>
  <c r="P26" i="1"/>
  <c r="Q83" i="1"/>
  <c r="Q84" i="1" s="1"/>
  <c r="K60" i="1" s="1"/>
  <c r="M60" i="1" s="1"/>
  <c r="Q97" i="1"/>
  <c r="Q98" i="1" s="1"/>
  <c r="K61" i="1" s="1"/>
  <c r="M61" i="1" s="1"/>
  <c r="P23" i="1"/>
</calcChain>
</file>

<file path=xl/sharedStrings.xml><?xml version="1.0" encoding="utf-8"?>
<sst xmlns="http://schemas.openxmlformats.org/spreadsheetml/2006/main" count="118" uniqueCount="74">
  <si>
    <t>A22 Oxidation von Iodid durch Peroxidsulfat</t>
  </si>
  <si>
    <t>Messung Teil A</t>
  </si>
  <si>
    <t>Zeit [s]</t>
  </si>
  <si>
    <t>Messung Teil B</t>
  </si>
  <si>
    <t>45 °C</t>
  </si>
  <si>
    <t>50 °C</t>
  </si>
  <si>
    <t>Messtung Teil C</t>
  </si>
  <si>
    <t>40 °C</t>
  </si>
  <si>
    <t>35 °C</t>
  </si>
  <si>
    <t>30 °C</t>
  </si>
  <si>
    <t>25 °C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</si>
  <si>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(S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b/>
        <vertAlign val="superscript"/>
        <sz val="11"/>
        <color theme="1"/>
        <rFont val="Calibri"/>
        <family val="2"/>
        <scheme val="minor"/>
      </rPr>
      <t>2-</t>
    </r>
    <r>
      <rPr>
        <b/>
        <sz val="11"/>
        <color theme="1"/>
        <rFont val="Calibri"/>
        <family val="2"/>
        <scheme val="minor"/>
      </rPr>
      <t>)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</si>
  <si>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(I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)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</si>
  <si>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(S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2-</t>
    </r>
    <r>
      <rPr>
        <b/>
        <sz val="11"/>
        <color theme="1"/>
        <rFont val="Calibri"/>
        <family val="2"/>
        <scheme val="minor"/>
      </rPr>
      <t>)</t>
    </r>
  </si>
  <si>
    <t>Messzeit Δt/s</t>
  </si>
  <si>
    <r>
      <t>v(I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 [(mol/L)/s)]</t>
    </r>
  </si>
  <si>
    <t>ln(C) I-</t>
  </si>
  <si>
    <t>ln(v) I2</t>
  </si>
  <si>
    <t>ln(C) S2O8</t>
  </si>
  <si>
    <t>Teilordnung Iod</t>
  </si>
  <si>
    <t>Teilordnung Sulfat</t>
  </si>
  <si>
    <t>Gesamtordnung</t>
  </si>
  <si>
    <t>Fehler</t>
  </si>
  <si>
    <t>Geschwindigkeitskonst.</t>
  </si>
  <si>
    <t>k=v/c1*c2</t>
  </si>
  <si>
    <t>ln(k)</t>
  </si>
  <si>
    <t>Gaskonstante</t>
  </si>
  <si>
    <t>Aktivierungsenergie</t>
  </si>
  <si>
    <t>T [K]</t>
  </si>
  <si>
    <t>1/T [K]</t>
  </si>
  <si>
    <t>J/mol</t>
  </si>
  <si>
    <t>Häufigkeitsfaktor</t>
  </si>
  <si>
    <t>A            =</t>
  </si>
  <si>
    <t>Arrhenius</t>
  </si>
  <si>
    <t>k=A*e^-(Ea/(R*T))</t>
  </si>
  <si>
    <t>L/(mol*s)</t>
  </si>
  <si>
    <r>
      <t>E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         =</t>
    </r>
  </si>
  <si>
    <t>Fehler (+/-)</t>
  </si>
  <si>
    <t>m            =</t>
  </si>
  <si>
    <t>Ionenstärke</t>
  </si>
  <si>
    <t>mol/L</t>
  </si>
  <si>
    <r>
      <t>I</t>
    </r>
    <r>
      <rPr>
        <b/>
        <vertAlign val="superscript"/>
        <sz val="11"/>
        <color theme="1"/>
        <rFont val="Calibri"/>
        <family val="2"/>
        <scheme val="minor"/>
      </rPr>
      <t>-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</si>
  <si>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b/>
        <vertAlign val="superscript"/>
        <sz val="11"/>
        <color theme="1"/>
        <rFont val="Calibri"/>
        <family val="2"/>
        <scheme val="minor"/>
      </rPr>
      <t>2-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</si>
  <si>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2-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</si>
  <si>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2-</t>
    </r>
  </si>
  <si>
    <r>
      <t>Na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</si>
  <si>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r>
      <t>K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</si>
  <si>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r>
      <t>NH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</si>
  <si>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</si>
  <si>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</si>
  <si>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b            =</t>
  </si>
  <si>
    <r>
      <t>I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</si>
  <si>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</si>
  <si>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Wurzel I</t>
  </si>
  <si>
    <t xml:space="preserve"> </t>
  </si>
  <si>
    <t>A'   (Lit.)   =</t>
  </si>
  <si>
    <t xml:space="preserve"> A'               =</t>
  </si>
  <si>
    <t>kJ/mol</t>
  </si>
  <si>
    <t>WURZEL(mol/L)</t>
  </si>
  <si>
    <t xml:space="preserve">Abweichung </t>
  </si>
  <si>
    <t>Soll</t>
  </si>
  <si>
    <t>Ist</t>
  </si>
  <si>
    <t>n [mol]</t>
  </si>
  <si>
    <t>c[mol/L]</t>
  </si>
  <si>
    <t>z</t>
  </si>
  <si>
    <t>z²</t>
  </si>
  <si>
    <t>c z² [mol/L]</t>
  </si>
  <si>
    <t>Messung 1</t>
  </si>
  <si>
    <t>V [L]</t>
  </si>
  <si>
    <t>Ladungszahl des Ions</t>
  </si>
  <si>
    <t>Summe:</t>
  </si>
  <si>
    <t>Messung 2</t>
  </si>
  <si>
    <t>mol/m³</t>
  </si>
  <si>
    <t>Ladungsprodukt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</si>
</sst>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4454343945124"/>
          <c:y val="0.11995775155201957"/>
          <c:w val="0.73129430633834924"/>
          <c:h val="0.6595865353768996"/>
        </c:manualLayout>
      </c:layout>
      <c:scatterChart>
        <c:scatterStyle val="lineMarker"/>
        <c:varyColors val="0"/>
        <c:ser>
          <c:idx val="0"/>
          <c:order val="0"/>
          <c:tx>
            <c:v>Iod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1481261807262344E-2"/>
                  <c:y val="0.253121147491348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Tabelle1!$J$9:$J$12</c:f>
              <c:numCache>
                <c:formatCode>General</c:formatCode>
                <c:ptCount val="4"/>
                <c:pt idx="0">
                  <c:v>-3.2188758248682006</c:v>
                </c:pt>
                <c:pt idx="1">
                  <c:v>-3.4420193761824103</c:v>
                </c:pt>
                <c:pt idx="2">
                  <c:v>-3.7297014486341915</c:v>
                </c:pt>
                <c:pt idx="3">
                  <c:v>-4.1351665567423561</c:v>
                </c:pt>
              </c:numCache>
            </c:numRef>
          </c:xVal>
          <c:yVal>
            <c:numRef>
              <c:f>Tabelle1!$N$9:$N$12</c:f>
              <c:numCache>
                <c:formatCode>General</c:formatCode>
                <c:ptCount val="4"/>
                <c:pt idx="0">
                  <c:v>-11.894371067234172</c:v>
                </c:pt>
                <c:pt idx="1">
                  <c:v>-12.171739966449667</c:v>
                </c:pt>
                <c:pt idx="2">
                  <c:v>-12.461760828320109</c:v>
                </c:pt>
                <c:pt idx="3">
                  <c:v>-12.823418112673837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84-4751-B769-58C483E5E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786864"/>
        <c:axId val="2081769392"/>
      </c:scatterChart>
      <c:valAx>
        <c:axId val="2081786864"/>
        <c:scaling>
          <c:orientation val="minMax"/>
          <c:max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de-DE" i="1"/>
                  <a:t>c</a:t>
                </a:r>
                <a:r>
                  <a:rPr lang="de-DE"/>
                  <a:t>)</a:t>
                </a:r>
              </a:p>
            </c:rich>
          </c:tx>
          <c:layout>
            <c:manualLayout>
              <c:xMode val="edge"/>
              <c:yMode val="edge"/>
              <c:x val="0.47618097132532505"/>
              <c:y val="0.8779648773055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1769392"/>
        <c:crossesAt val="-13"/>
        <c:crossBetween val="midCat"/>
      </c:valAx>
      <c:valAx>
        <c:axId val="20817693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de-DE" i="1"/>
                  <a:t>v</a:t>
                </a:r>
                <a:r>
                  <a:rPr lang="de-DE"/>
                  <a:t>)</a:t>
                </a:r>
              </a:p>
            </c:rich>
          </c:tx>
          <c:layout>
            <c:manualLayout>
              <c:xMode val="edge"/>
              <c:yMode val="edge"/>
              <c:x val="2.5038307734387946E-2"/>
              <c:y val="0.4410068990887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1786864"/>
        <c:crossesAt val="-4.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84318324943684"/>
          <c:y val="0.1114351542755406"/>
          <c:w val="0.77270527174441339"/>
          <c:h val="0.7033797028812530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4763631599190203E-2"/>
                  <c:y val="0.26715259550889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(Tabelle1!$K$9,Tabelle1!$K$13,Tabelle1!$K$14,Tabelle1!$K$15)</c:f>
              <c:numCache>
                <c:formatCode>General</c:formatCode>
                <c:ptCount val="4"/>
                <c:pt idx="0">
                  <c:v>-3.2188758248682006</c:v>
                </c:pt>
                <c:pt idx="1">
                  <c:v>-3.4420193761824103</c:v>
                </c:pt>
                <c:pt idx="2">
                  <c:v>-3.7297014486341915</c:v>
                </c:pt>
                <c:pt idx="3">
                  <c:v>-4.1351665567423561</c:v>
                </c:pt>
              </c:numCache>
            </c:numRef>
          </c:xVal>
          <c:yVal>
            <c:numRef>
              <c:f>(Tabelle1!$N$9,Tabelle1!$N$13,Tabelle1!$N$14,Tabelle1!$N$15)</c:f>
              <c:numCache>
                <c:formatCode>General</c:formatCode>
                <c:ptCount val="4"/>
                <c:pt idx="0">
                  <c:v>-11.894371067234172</c:v>
                </c:pt>
                <c:pt idx="1">
                  <c:v>-12.108294422611468</c:v>
                </c:pt>
                <c:pt idx="2">
                  <c:v>-12.407379502235209</c:v>
                </c:pt>
                <c:pt idx="3">
                  <c:v>-12.821555537733619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873-4CC5-AB64-963F2204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819728"/>
        <c:axId val="2081815152"/>
      </c:scatterChart>
      <c:valAx>
        <c:axId val="2081819728"/>
        <c:scaling>
          <c:orientation val="minMax"/>
          <c:max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de-DE" i="1"/>
                  <a:t>c</a:t>
                </a:r>
                <a:r>
                  <a:rPr lang="de-DE"/>
                  <a:t>)</a:t>
                </a:r>
              </a:p>
            </c:rich>
          </c:tx>
          <c:layout>
            <c:manualLayout>
              <c:xMode val="edge"/>
              <c:yMode val="edge"/>
              <c:x val="0.50495154289288713"/>
              <c:y val="0.90782407407407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1815152"/>
        <c:crossesAt val="-13"/>
        <c:crossBetween val="midCat"/>
      </c:valAx>
      <c:valAx>
        <c:axId val="2081815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de-DE" i="1"/>
                  <a:t>v</a:t>
                </a:r>
                <a:r>
                  <a:rPr lang="de-DE"/>
                  <a:t>)</a:t>
                </a:r>
              </a:p>
            </c:rich>
          </c:tx>
          <c:layout>
            <c:manualLayout>
              <c:xMode val="edge"/>
              <c:yMode val="edge"/>
              <c:x val="3.3376190295053697E-2"/>
              <c:y val="0.498078885972586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1819728"/>
        <c:crossesAt val="-4.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  <a:p>
            <a:pPr>
              <a:defRPr/>
            </a:pP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54882404405332"/>
          <c:y val="7.8815449723675948E-2"/>
          <c:w val="0.81517183881426591"/>
          <c:h val="0.7273235169206930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8155524677062426E-2"/>
                  <c:y val="-0.286918060724806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Tabelle1!$Q$18:$Q$23</c:f>
              <c:numCache>
                <c:formatCode>General</c:formatCode>
                <c:ptCount val="6"/>
                <c:pt idx="0">
                  <c:v>3.3540164346805303E-3</c:v>
                </c:pt>
                <c:pt idx="1">
                  <c:v>3.298697014679202E-3</c:v>
                </c:pt>
                <c:pt idx="2">
                  <c:v>3.2451728054518907E-3</c:v>
                </c:pt>
                <c:pt idx="3">
                  <c:v>3.1933578157432542E-3</c:v>
                </c:pt>
                <c:pt idx="4">
                  <c:v>3.1431714600031434E-3</c:v>
                </c:pt>
                <c:pt idx="5">
                  <c:v>3.0945381401825778E-3</c:v>
                </c:pt>
              </c:numCache>
            </c:numRef>
          </c:xVal>
          <c:yVal>
            <c:numRef>
              <c:f>Tabelle1!$P$18:$P$23</c:f>
              <c:numCache>
                <c:formatCode>General</c:formatCode>
                <c:ptCount val="6"/>
                <c:pt idx="0">
                  <c:v>-5.4810613341139982</c:v>
                </c:pt>
                <c:pt idx="1">
                  <c:v>-5.1677552754668943</c:v>
                </c:pt>
                <c:pt idx="2">
                  <c:v>-4.903192612234105</c:v>
                </c:pt>
                <c:pt idx="3">
                  <c:v>-4.5588707174594685</c:v>
                </c:pt>
                <c:pt idx="4">
                  <c:v>-4.2154199499124525</c:v>
                </c:pt>
                <c:pt idx="5">
                  <c:v>-3.9995832317724096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24-4205-940C-450F9F40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759680"/>
        <c:axId val="525760512"/>
      </c:scatterChart>
      <c:valAx>
        <c:axId val="52575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1/</a:t>
                </a:r>
                <a:r>
                  <a:rPr lang="de-DE" i="1"/>
                  <a:t>T</a:t>
                </a:r>
                <a:r>
                  <a:rPr lang="de-DE"/>
                  <a:t> [1/</a:t>
                </a:r>
                <a:r>
                  <a:rPr lang="de-DE" i="1"/>
                  <a:t>K</a:t>
                </a:r>
                <a:r>
                  <a:rPr lang="de-DE"/>
                  <a:t>]</a:t>
                </a:r>
              </a:p>
            </c:rich>
          </c:tx>
          <c:layout>
            <c:manualLayout>
              <c:xMode val="edge"/>
              <c:yMode val="edge"/>
              <c:x val="0.45206752097164327"/>
              <c:y val="0.900764521429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5760512"/>
        <c:crossesAt val="-6"/>
        <c:crossBetween val="midCat"/>
      </c:valAx>
      <c:valAx>
        <c:axId val="525760512"/>
        <c:scaling>
          <c:orientation val="minMax"/>
          <c:max val="-3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de-DE" i="1"/>
                  <a:t>k</a:t>
                </a:r>
                <a:r>
                  <a:rPr lang="de-DE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5759680"/>
        <c:crossesAt val="3.0500000000000011E-3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9238976377952757"/>
                  <c:y val="0.156142461358996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Tabelle1!$M$60:$M$61</c:f>
              <c:numCache>
                <c:formatCode>General</c:formatCode>
                <c:ptCount val="2"/>
                <c:pt idx="0">
                  <c:v>0.85057841255778499</c:v>
                </c:pt>
                <c:pt idx="1">
                  <c:v>0.77025702136861629</c:v>
                </c:pt>
              </c:numCache>
            </c:numRef>
          </c:xVal>
          <c:yVal>
            <c:numRef>
              <c:f>Tabelle1!$P$25:$P$26</c:f>
              <c:numCache>
                <c:formatCode>General</c:formatCode>
                <c:ptCount val="2"/>
                <c:pt idx="0">
                  <c:v>-5.4415020162006975</c:v>
                </c:pt>
                <c:pt idx="1">
                  <c:v>-5.6049613768812039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14-4CEF-B2EE-1A48138A7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11119"/>
        <c:axId val="7708623"/>
      </c:scatterChart>
      <c:valAx>
        <c:axId val="7711119"/>
        <c:scaling>
          <c:orientation val="minMax"/>
          <c:min val="0.7500000000000001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base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√𝐼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base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08623"/>
        <c:crossesAt val="-5.6199999999999992"/>
        <c:crossBetween val="midCat"/>
      </c:valAx>
      <c:valAx>
        <c:axId val="770862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11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26</xdr:row>
      <xdr:rowOff>185736</xdr:rowOff>
    </xdr:from>
    <xdr:to>
      <xdr:col>10</xdr:col>
      <xdr:colOff>257174</xdr:colOff>
      <xdr:row>42</xdr:row>
      <xdr:rowOff>133349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7CA2540-D380-454A-892F-308FFCD6D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14287</xdr:colOff>
      <xdr:row>27</xdr:row>
      <xdr:rowOff>123826</xdr:rowOff>
    </xdr:from>
    <xdr:to>
      <xdr:col>16</xdr:col>
      <xdr:colOff>409575</xdr:colOff>
      <xdr:row>41</xdr:row>
      <xdr:rowOff>80962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F780BA0-6041-4CF6-BA6F-E8D225F3C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428625</xdr:colOff>
      <xdr:row>43</xdr:row>
      <xdr:rowOff>185737</xdr:rowOff>
    </xdr:from>
    <xdr:to>
      <xdr:col>9</xdr:col>
      <xdr:colOff>9525</xdr:colOff>
      <xdr:row>59</xdr:row>
      <xdr:rowOff>47625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86F9A8FF-D300-4B97-955A-4FC368BD1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404812</xdr:colOff>
      <xdr:row>44</xdr:row>
      <xdr:rowOff>14287</xdr:rowOff>
    </xdr:from>
    <xdr:to>
      <xdr:col>18</xdr:col>
      <xdr:colOff>42862</xdr:colOff>
      <xdr:row>58</xdr:row>
      <xdr:rowOff>52387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D6603B6-B636-415C-8AF6-99AFBFD56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R99"/>
  <sheetViews>
    <sheetView tabSelected="1" topLeftCell="E67" zoomScaleNormal="100" workbookViewId="0">
      <selection activeCell="M79" sqref="M79"/>
    </sheetView>
  </sheetViews>
  <sheetFormatPr baseColWidth="10" defaultColWidth="9.140625" defaultRowHeight="15" x14ac:dyDescent="0.25"/>
  <cols>
    <col min="5" max="5" width="19" customWidth="1"/>
    <col min="6" max="6" width="11.5703125" customWidth="1"/>
    <col min="7" max="7" width="10.42578125" customWidth="1"/>
    <col min="8" max="8" width="10.7109375" customWidth="1"/>
    <col min="10" max="10" width="13.85546875" customWidth="1"/>
    <col min="11" max="11" width="19.42578125" customWidth="1"/>
    <col min="12" max="12" width="19" customWidth="1"/>
    <col min="13" max="13" width="13.5703125" customWidth="1"/>
    <col min="14" max="14" width="10.85546875" customWidth="1"/>
    <col min="15" max="15" width="21.85546875" customWidth="1"/>
    <col min="16" max="16" width="19.28515625" customWidth="1"/>
    <col min="17" max="17" width="19" customWidth="1"/>
    <col min="18" max="18" width="13.85546875" customWidth="1"/>
  </cols>
  <sheetData>
    <row r="3" spans="3:18" ht="39" x14ac:dyDescent="0.6">
      <c r="C3" s="1" t="s">
        <v>0</v>
      </c>
    </row>
    <row r="5" spans="3:18" x14ac:dyDescent="0.25">
      <c r="O5" s="2" t="s">
        <v>19</v>
      </c>
      <c r="P5" s="2" t="s">
        <v>20</v>
      </c>
      <c r="Q5" s="2" t="s">
        <v>21</v>
      </c>
      <c r="R5" s="2" t="s">
        <v>26</v>
      </c>
    </row>
    <row r="6" spans="3:18" x14ac:dyDescent="0.25">
      <c r="O6">
        <v>1.0036</v>
      </c>
      <c r="P6">
        <v>1.0159</v>
      </c>
      <c r="Q6">
        <f>O6+P6</f>
        <v>2.0194999999999999</v>
      </c>
      <c r="R6">
        <v>8.3140000000000001</v>
      </c>
    </row>
    <row r="7" spans="3:18" x14ac:dyDescent="0.25">
      <c r="N7" s="2" t="s">
        <v>22</v>
      </c>
      <c r="O7">
        <v>5.1400000000000001E-2</v>
      </c>
      <c r="P7">
        <v>9.5999999999999992E-3</v>
      </c>
    </row>
    <row r="8" spans="3:18" ht="18.75" x14ac:dyDescent="0.35">
      <c r="E8" s="2" t="s">
        <v>1</v>
      </c>
      <c r="F8" s="2" t="s">
        <v>2</v>
      </c>
      <c r="G8" s="2" t="s">
        <v>11</v>
      </c>
      <c r="H8" s="2" t="s">
        <v>12</v>
      </c>
      <c r="I8" s="2" t="s">
        <v>13</v>
      </c>
      <c r="J8" s="2" t="s">
        <v>16</v>
      </c>
      <c r="K8" s="2" t="s">
        <v>18</v>
      </c>
      <c r="L8" s="2" t="s">
        <v>14</v>
      </c>
      <c r="M8" s="2" t="s">
        <v>15</v>
      </c>
      <c r="N8" s="2" t="s">
        <v>17</v>
      </c>
    </row>
    <row r="9" spans="3:18" x14ac:dyDescent="0.25">
      <c r="E9">
        <v>1</v>
      </c>
      <c r="F9">
        <v>146.44</v>
      </c>
      <c r="G9">
        <v>0.04</v>
      </c>
      <c r="H9">
        <v>0.04</v>
      </c>
      <c r="I9">
        <v>2E-3</v>
      </c>
      <c r="J9">
        <f t="shared" ref="J9:J15" si="0">LN(H9)</f>
        <v>-3.2188758248682006</v>
      </c>
      <c r="K9">
        <f t="shared" ref="K9:K15" si="1">LN(G9)</f>
        <v>-3.2188758248682006</v>
      </c>
      <c r="L9">
        <v>146.44</v>
      </c>
      <c r="M9">
        <f>(I9/L9)/2</f>
        <v>6.8287353182190664E-6</v>
      </c>
      <c r="N9">
        <f t="shared" ref="N9:N15" si="2">LN(M9)</f>
        <v>-11.894371067234172</v>
      </c>
      <c r="P9" s="2"/>
    </row>
    <row r="10" spans="3:18" x14ac:dyDescent="0.25">
      <c r="E10">
        <v>2</v>
      </c>
      <c r="F10">
        <v>93.25</v>
      </c>
      <c r="G10">
        <v>0.04</v>
      </c>
      <c r="H10">
        <v>3.2000000000000001E-2</v>
      </c>
      <c r="I10">
        <v>2E-3</v>
      </c>
      <c r="J10">
        <f t="shared" si="0"/>
        <v>-3.4420193761824103</v>
      </c>
      <c r="K10">
        <f t="shared" si="1"/>
        <v>-3.2188758248682006</v>
      </c>
      <c r="L10">
        <v>193.25</v>
      </c>
      <c r="M10">
        <f t="shared" ref="M10:M15" si="3">(I10/L10)/2</f>
        <v>5.1746442432082795E-6</v>
      </c>
      <c r="N10">
        <f t="shared" si="2"/>
        <v>-12.171739966449667</v>
      </c>
    </row>
    <row r="11" spans="3:18" x14ac:dyDescent="0.25">
      <c r="E11">
        <v>3</v>
      </c>
      <c r="F11">
        <v>258.27</v>
      </c>
      <c r="G11">
        <v>0.04</v>
      </c>
      <c r="H11">
        <v>2.4E-2</v>
      </c>
      <c r="I11">
        <v>2E-3</v>
      </c>
      <c r="J11">
        <f t="shared" si="0"/>
        <v>-3.7297014486341915</v>
      </c>
      <c r="K11">
        <f t="shared" si="1"/>
        <v>-3.2188758248682006</v>
      </c>
      <c r="L11">
        <v>258.27</v>
      </c>
      <c r="M11">
        <f t="shared" si="3"/>
        <v>3.8719169860998183E-6</v>
      </c>
      <c r="N11">
        <f t="shared" si="2"/>
        <v>-12.461760828320109</v>
      </c>
    </row>
    <row r="12" spans="3:18" x14ac:dyDescent="0.25">
      <c r="E12">
        <v>4</v>
      </c>
      <c r="F12">
        <v>370.08</v>
      </c>
      <c r="G12">
        <v>0.04</v>
      </c>
      <c r="H12">
        <v>1.6E-2</v>
      </c>
      <c r="I12">
        <v>2E-3</v>
      </c>
      <c r="J12">
        <f t="shared" si="0"/>
        <v>-4.1351665567423561</v>
      </c>
      <c r="K12">
        <f t="shared" si="1"/>
        <v>-3.2188758248682006</v>
      </c>
      <c r="L12">
        <v>370.8</v>
      </c>
      <c r="M12">
        <f t="shared" si="3"/>
        <v>2.6968716289104638E-6</v>
      </c>
      <c r="N12">
        <f t="shared" si="2"/>
        <v>-12.823418112673837</v>
      </c>
    </row>
    <row r="13" spans="3:18" x14ac:dyDescent="0.25">
      <c r="E13">
        <v>5</v>
      </c>
      <c r="F13">
        <v>181.37</v>
      </c>
      <c r="G13">
        <v>3.2000000000000001E-2</v>
      </c>
      <c r="H13">
        <v>0.04</v>
      </c>
      <c r="I13">
        <v>2E-3</v>
      </c>
      <c r="J13">
        <f t="shared" si="0"/>
        <v>-3.2188758248682006</v>
      </c>
      <c r="K13">
        <f t="shared" si="1"/>
        <v>-3.4420193761824103</v>
      </c>
      <c r="L13">
        <v>181.37</v>
      </c>
      <c r="M13">
        <f t="shared" si="3"/>
        <v>5.5135910018194848E-6</v>
      </c>
      <c r="N13">
        <f t="shared" si="2"/>
        <v>-12.108294422611468</v>
      </c>
    </row>
    <row r="14" spans="3:18" x14ac:dyDescent="0.25">
      <c r="E14">
        <v>6</v>
      </c>
      <c r="F14">
        <v>244.6</v>
      </c>
      <c r="G14">
        <v>2.4E-2</v>
      </c>
      <c r="H14">
        <v>0.04</v>
      </c>
      <c r="I14">
        <v>2E-3</v>
      </c>
      <c r="J14">
        <f t="shared" si="0"/>
        <v>-3.2188758248682006</v>
      </c>
      <c r="K14">
        <f t="shared" si="1"/>
        <v>-3.7297014486341915</v>
      </c>
      <c r="L14">
        <v>244.6</v>
      </c>
      <c r="M14">
        <f t="shared" si="3"/>
        <v>4.088307440719542E-6</v>
      </c>
      <c r="N14">
        <f t="shared" si="2"/>
        <v>-12.407379502235209</v>
      </c>
    </row>
    <row r="15" spans="3:18" x14ac:dyDescent="0.25">
      <c r="E15">
        <v>7</v>
      </c>
      <c r="F15">
        <v>370.11</v>
      </c>
      <c r="G15">
        <v>1.6E-2</v>
      </c>
      <c r="H15">
        <v>0.04</v>
      </c>
      <c r="I15">
        <v>2E-3</v>
      </c>
      <c r="J15">
        <f t="shared" si="0"/>
        <v>-3.2188758248682006</v>
      </c>
      <c r="K15">
        <f t="shared" si="1"/>
        <v>-4.1351665567423561</v>
      </c>
      <c r="L15">
        <v>370.11</v>
      </c>
      <c r="M15">
        <f t="shared" si="3"/>
        <v>2.7018994353030181E-6</v>
      </c>
      <c r="N15">
        <f t="shared" si="2"/>
        <v>-12.821555537733619</v>
      </c>
    </row>
    <row r="16" spans="3:18" x14ac:dyDescent="0.25">
      <c r="O16" s="2" t="s">
        <v>23</v>
      </c>
    </row>
    <row r="17" spans="5:18" ht="18.75" x14ac:dyDescent="0.35">
      <c r="E17" s="2" t="s">
        <v>3</v>
      </c>
      <c r="F17" s="2" t="s">
        <v>2</v>
      </c>
      <c r="G17" s="2" t="s">
        <v>11</v>
      </c>
      <c r="H17" s="2" t="s">
        <v>12</v>
      </c>
      <c r="I17" s="2" t="s">
        <v>13</v>
      </c>
      <c r="J17" s="2" t="s">
        <v>16</v>
      </c>
      <c r="K17" s="2" t="s">
        <v>18</v>
      </c>
      <c r="L17" s="2" t="s">
        <v>14</v>
      </c>
      <c r="M17" s="2" t="s">
        <v>15</v>
      </c>
      <c r="N17" s="2" t="s">
        <v>17</v>
      </c>
      <c r="O17" s="2" t="s">
        <v>24</v>
      </c>
      <c r="P17" s="2" t="s">
        <v>25</v>
      </c>
      <c r="Q17" s="2" t="s">
        <v>29</v>
      </c>
      <c r="R17" s="2" t="s">
        <v>28</v>
      </c>
    </row>
    <row r="18" spans="5:18" x14ac:dyDescent="0.25">
      <c r="E18" s="3" t="s">
        <v>10</v>
      </c>
      <c r="F18">
        <v>363.79</v>
      </c>
      <c r="G18">
        <v>3.3000000000000002E-2</v>
      </c>
      <c r="H18">
        <v>3.3000000000000002E-2</v>
      </c>
      <c r="I18">
        <v>3.3E-3</v>
      </c>
      <c r="J18">
        <f t="shared" ref="J18:J23" si="4">LN(H18)</f>
        <v>-3.4112477175156566</v>
      </c>
      <c r="K18">
        <f t="shared" ref="K18:K23" si="5">LN(G18)</f>
        <v>-3.4112477175156566</v>
      </c>
      <c r="L18">
        <v>363.79</v>
      </c>
      <c r="M18">
        <f>(I18/L18)/2</f>
        <v>4.5355837158800407E-6</v>
      </c>
      <c r="N18">
        <f>LN(M18)</f>
        <v>-12.303556769145311</v>
      </c>
      <c r="O18">
        <f>M18/(H18*G18)</f>
        <v>4.1649069934619285E-3</v>
      </c>
      <c r="P18">
        <f>LN(O18)</f>
        <v>-5.4810613341139982</v>
      </c>
      <c r="Q18">
        <f>1/298.15</f>
        <v>3.3540164346805303E-3</v>
      </c>
    </row>
    <row r="19" spans="5:18" x14ac:dyDescent="0.25">
      <c r="E19" s="3" t="s">
        <v>9</v>
      </c>
      <c r="F19">
        <v>265.94</v>
      </c>
      <c r="G19">
        <v>3.3000000000000002E-2</v>
      </c>
      <c r="H19">
        <v>3.3000000000000002E-2</v>
      </c>
      <c r="I19">
        <v>3.3E-3</v>
      </c>
      <c r="J19">
        <f t="shared" si="4"/>
        <v>-3.4112477175156566</v>
      </c>
      <c r="K19">
        <f t="shared" si="5"/>
        <v>-3.4112477175156566</v>
      </c>
      <c r="L19">
        <v>265.94</v>
      </c>
      <c r="M19">
        <f t="shared" ref="M19:M22" si="6">(I19/L19)/2</f>
        <v>6.2044070090997972E-6</v>
      </c>
      <c r="N19">
        <f t="shared" ref="N19:N22" si="7">LN(M19)</f>
        <v>-11.990250710498207</v>
      </c>
      <c r="O19">
        <f t="shared" ref="O19:O20" si="8">M19/(H19*G19)</f>
        <v>5.6973434426995373E-3</v>
      </c>
      <c r="P19">
        <f t="shared" ref="P19:P23" si="9">LN(O19)</f>
        <v>-5.1677552754668943</v>
      </c>
      <c r="Q19">
        <f>1/303.15</f>
        <v>3.298697014679202E-3</v>
      </c>
    </row>
    <row r="20" spans="5:18" x14ac:dyDescent="0.25">
      <c r="E20" s="3" t="s">
        <v>8</v>
      </c>
      <c r="F20">
        <v>204.12</v>
      </c>
      <c r="G20">
        <v>3.3000000000000002E-2</v>
      </c>
      <c r="H20">
        <v>3.3000000000000002E-2</v>
      </c>
      <c r="I20">
        <v>3.3E-3</v>
      </c>
      <c r="J20">
        <f t="shared" si="4"/>
        <v>-3.4112477175156566</v>
      </c>
      <c r="K20">
        <f t="shared" si="5"/>
        <v>-3.4112477175156566</v>
      </c>
      <c r="L20">
        <v>204.12</v>
      </c>
      <c r="M20">
        <f t="shared" si="6"/>
        <v>8.0834803057025272E-6</v>
      </c>
      <c r="N20">
        <f t="shared" si="7"/>
        <v>-11.725688047265418</v>
      </c>
      <c r="O20">
        <f t="shared" si="8"/>
        <v>7.4228469290197668E-3</v>
      </c>
      <c r="P20">
        <f>LN(O20)</f>
        <v>-4.903192612234105</v>
      </c>
      <c r="Q20">
        <f>1/308.15</f>
        <v>3.2451728054518907E-3</v>
      </c>
    </row>
    <row r="21" spans="5:18" x14ac:dyDescent="0.25">
      <c r="E21" s="3" t="s">
        <v>7</v>
      </c>
      <c r="F21">
        <v>144.66</v>
      </c>
      <c r="G21">
        <v>3.3000000000000002E-2</v>
      </c>
      <c r="H21">
        <v>3.3000000000000002E-2</v>
      </c>
      <c r="I21">
        <v>3.3E-3</v>
      </c>
      <c r="J21">
        <f t="shared" si="4"/>
        <v>-3.4112477175156566</v>
      </c>
      <c r="K21">
        <f t="shared" si="5"/>
        <v>-3.4112477175156566</v>
      </c>
      <c r="L21">
        <v>144.66</v>
      </c>
      <c r="M21">
        <f>(I21/L21)/2</f>
        <v>1.1406055578598092E-5</v>
      </c>
      <c r="N21">
        <f>LN(M21)</f>
        <v>-11.381366152490783</v>
      </c>
      <c r="O21">
        <f>M21/(H21*G21)</f>
        <v>1.0473880237463812E-2</v>
      </c>
      <c r="P21">
        <f>LN(O21)</f>
        <v>-4.5588707174594685</v>
      </c>
      <c r="Q21">
        <f>1/313.15</f>
        <v>3.1933578157432542E-3</v>
      </c>
    </row>
    <row r="22" spans="5:18" x14ac:dyDescent="0.25">
      <c r="E22" s="3" t="s">
        <v>4</v>
      </c>
      <c r="F22">
        <v>102.61</v>
      </c>
      <c r="G22">
        <v>3.3000000000000002E-2</v>
      </c>
      <c r="H22">
        <v>3.3000000000000002E-2</v>
      </c>
      <c r="I22">
        <v>3.3E-3</v>
      </c>
      <c r="J22">
        <f t="shared" si="4"/>
        <v>-3.4112477175156566</v>
      </c>
      <c r="K22">
        <f t="shared" si="5"/>
        <v>-3.4112477175156566</v>
      </c>
      <c r="L22">
        <v>102.61</v>
      </c>
      <c r="M22">
        <f t="shared" si="6"/>
        <v>1.6080304063931391E-5</v>
      </c>
      <c r="N22">
        <f t="shared" si="7"/>
        <v>-11.037915384943766</v>
      </c>
      <c r="O22">
        <f>M22/(H22*G22)</f>
        <v>1.476611943428043E-2</v>
      </c>
      <c r="P22">
        <f t="shared" si="9"/>
        <v>-4.2154199499124525</v>
      </c>
      <c r="Q22">
        <f>1/318.15</f>
        <v>3.1431714600031434E-3</v>
      </c>
      <c r="R22">
        <v>318.14999999999998</v>
      </c>
    </row>
    <row r="23" spans="5:18" x14ac:dyDescent="0.25">
      <c r="E23" s="3" t="s">
        <v>5</v>
      </c>
      <c r="F23">
        <v>82.64</v>
      </c>
      <c r="G23">
        <v>3.3000000000000002E-2</v>
      </c>
      <c r="H23">
        <v>3.3000000000000002E-2</v>
      </c>
      <c r="I23">
        <v>3.3E-3</v>
      </c>
      <c r="J23">
        <f t="shared" si="4"/>
        <v>-3.4112477175156566</v>
      </c>
      <c r="K23">
        <f t="shared" si="5"/>
        <v>-3.4112477175156566</v>
      </c>
      <c r="L23">
        <v>82.69</v>
      </c>
      <c r="M23">
        <f>(I23/L23)/2</f>
        <v>1.9954045229169188E-5</v>
      </c>
      <c r="N23">
        <f>LN(M23)</f>
        <v>-10.822078666803723</v>
      </c>
      <c r="O23">
        <f>M23/(H23*G23)</f>
        <v>1.8323273855986397E-2</v>
      </c>
      <c r="P23">
        <f t="shared" si="9"/>
        <v>-3.9995832317724096</v>
      </c>
      <c r="Q23">
        <f>1/323.15</f>
        <v>3.0945381401825778E-3</v>
      </c>
      <c r="R23">
        <v>323.14999999999998</v>
      </c>
    </row>
    <row r="24" spans="5:18" x14ac:dyDescent="0.25">
      <c r="E24" s="2" t="s">
        <v>6</v>
      </c>
    </row>
    <row r="25" spans="5:18" x14ac:dyDescent="0.25">
      <c r="E25">
        <v>1</v>
      </c>
      <c r="F25">
        <v>201.94</v>
      </c>
      <c r="G25">
        <f>N76</f>
        <v>2.8571428571428571E-2</v>
      </c>
      <c r="H25">
        <f>N93</f>
        <v>2.8571428571428571E-2</v>
      </c>
      <c r="I25">
        <f>N78</f>
        <v>1.4285714285714286E-3</v>
      </c>
      <c r="J25">
        <f>LN(H25)</f>
        <v>-3.5553480614894135</v>
      </c>
      <c r="K25">
        <f>LN(G25)</f>
        <v>-3.5553480614894135</v>
      </c>
      <c r="L25">
        <v>201.94</v>
      </c>
      <c r="M25">
        <f>(I25/L25)/2</f>
        <v>3.5371185217674272E-6</v>
      </c>
      <c r="N25">
        <f t="shared" ref="N25:N26" si="10">LN(M25)</f>
        <v>-12.552198139179525</v>
      </c>
      <c r="O25">
        <f>M25/(H25*G25)</f>
        <v>4.3329701891650987E-3</v>
      </c>
      <c r="P25">
        <f>LN(O25)</f>
        <v>-5.4415020162006975</v>
      </c>
    </row>
    <row r="26" spans="5:18" x14ac:dyDescent="0.25">
      <c r="E26">
        <v>2</v>
      </c>
      <c r="F26">
        <v>237.8</v>
      </c>
      <c r="G26">
        <f>N90</f>
        <v>2.8571428571428571E-2</v>
      </c>
      <c r="H26">
        <f>N93</f>
        <v>2.8571428571428571E-2</v>
      </c>
      <c r="I26">
        <f>N92</f>
        <v>1.4285714285714286E-3</v>
      </c>
      <c r="J26">
        <f>LN(H26)</f>
        <v>-3.5553480614894135</v>
      </c>
      <c r="K26">
        <f>LN(G26)</f>
        <v>-3.5553480614894135</v>
      </c>
      <c r="L26">
        <v>237.8</v>
      </c>
      <c r="M26">
        <f>(I26/L26)/2</f>
        <v>3.0037246185269734E-6</v>
      </c>
      <c r="N26">
        <f t="shared" si="10"/>
        <v>-12.715657499860031</v>
      </c>
      <c r="O26">
        <f>M26/(H26*G26)</f>
        <v>3.6795626576955429E-3</v>
      </c>
      <c r="P26">
        <f>LN(O26)</f>
        <v>-5.6049613768812039</v>
      </c>
    </row>
    <row r="44" spans="11:14" x14ac:dyDescent="0.25">
      <c r="K44" s="2" t="s">
        <v>33</v>
      </c>
    </row>
    <row r="45" spans="11:14" x14ac:dyDescent="0.25">
      <c r="K45" t="s">
        <v>34</v>
      </c>
    </row>
    <row r="47" spans="11:14" x14ac:dyDescent="0.25">
      <c r="K47" s="4" t="s">
        <v>27</v>
      </c>
      <c r="N47" s="2" t="s">
        <v>37</v>
      </c>
    </row>
    <row r="48" spans="11:14" x14ac:dyDescent="0.25">
      <c r="K48" s="4" t="s">
        <v>38</v>
      </c>
      <c r="L48">
        <v>5841.2</v>
      </c>
      <c r="N48">
        <v>160.61699999999999</v>
      </c>
    </row>
    <row r="49" spans="5:14" ht="18" x14ac:dyDescent="0.35">
      <c r="K49" s="4" t="s">
        <v>36</v>
      </c>
      <c r="L49">
        <f>5841.2*R6</f>
        <v>48563.736799999999</v>
      </c>
      <c r="M49" t="s">
        <v>30</v>
      </c>
      <c r="N49">
        <v>160.83199999999999</v>
      </c>
    </row>
    <row r="50" spans="5:14" x14ac:dyDescent="0.25">
      <c r="L50">
        <f>L49/1000</f>
        <v>48.563736800000001</v>
      </c>
      <c r="M50" t="s">
        <v>57</v>
      </c>
      <c r="N50">
        <f>N49/1000</f>
        <v>0.160832</v>
      </c>
    </row>
    <row r="54" spans="5:14" x14ac:dyDescent="0.25">
      <c r="K54" s="2" t="s">
        <v>31</v>
      </c>
    </row>
    <row r="55" spans="5:14" x14ac:dyDescent="0.25">
      <c r="K55" s="4" t="s">
        <v>50</v>
      </c>
      <c r="L55">
        <v>14.096</v>
      </c>
      <c r="N55">
        <v>0.51800000000000002</v>
      </c>
    </row>
    <row r="56" spans="5:14" x14ac:dyDescent="0.25">
      <c r="K56" s="4" t="s">
        <v>32</v>
      </c>
      <c r="L56">
        <f>EXP(14.096)</f>
        <v>1323777.5661923687</v>
      </c>
      <c r="M56" t="s">
        <v>35</v>
      </c>
      <c r="N56">
        <v>23.654</v>
      </c>
    </row>
    <row r="57" spans="5:14" x14ac:dyDescent="0.25">
      <c r="L57">
        <f>13237*10^2</f>
        <v>1323700</v>
      </c>
    </row>
    <row r="59" spans="5:14" x14ac:dyDescent="0.25">
      <c r="K59" s="2" t="s">
        <v>39</v>
      </c>
      <c r="M59" s="2" t="s">
        <v>53</v>
      </c>
    </row>
    <row r="60" spans="5:14" ht="18" x14ac:dyDescent="0.35">
      <c r="J60" s="5" t="s">
        <v>51</v>
      </c>
      <c r="K60">
        <f>Q84</f>
        <v>0.72348363590932141</v>
      </c>
      <c r="L60" t="s">
        <v>40</v>
      </c>
      <c r="M60">
        <f>SQRT(K60)</f>
        <v>0.85057841255778499</v>
      </c>
    </row>
    <row r="61" spans="5:14" ht="18" x14ac:dyDescent="0.35">
      <c r="J61" s="5" t="s">
        <v>52</v>
      </c>
      <c r="K61">
        <f>Q98</f>
        <v>0.59329587896765301</v>
      </c>
      <c r="L61" t="s">
        <v>40</v>
      </c>
      <c r="M61">
        <f>SQRT(K61)</f>
        <v>0.77025702136861629</v>
      </c>
    </row>
    <row r="62" spans="5:14" x14ac:dyDescent="0.25">
      <c r="J62" s="3"/>
    </row>
    <row r="64" spans="5:14" ht="18.75" x14ac:dyDescent="0.35">
      <c r="E64" s="6"/>
      <c r="F64" s="7" t="s">
        <v>41</v>
      </c>
      <c r="G64" s="7" t="s">
        <v>43</v>
      </c>
      <c r="H64" s="7" t="s">
        <v>42</v>
      </c>
      <c r="I64" s="7" t="s">
        <v>44</v>
      </c>
      <c r="J64" s="7" t="s">
        <v>45</v>
      </c>
      <c r="K64" s="7" t="s">
        <v>46</v>
      </c>
      <c r="L64" s="7" t="s">
        <v>47</v>
      </c>
    </row>
    <row r="65" spans="5:17" ht="18" x14ac:dyDescent="0.35">
      <c r="E65" s="7" t="s">
        <v>48</v>
      </c>
      <c r="F65" s="6">
        <v>1.4279999999999999E-2</v>
      </c>
      <c r="G65" s="6">
        <v>2.8500000000000001E-2</v>
      </c>
      <c r="H65" s="6">
        <v>2.8500000000000001E-2</v>
      </c>
      <c r="I65" s="6">
        <v>1.428E-3</v>
      </c>
      <c r="J65" s="6">
        <f>2*I65</f>
        <v>2.856E-3</v>
      </c>
      <c r="K65" s="6">
        <v>1.4279999999999999E-2</v>
      </c>
      <c r="L65" s="6">
        <f>((G65*2)+(H65*2))</f>
        <v>0.114</v>
      </c>
      <c r="M65" t="s">
        <v>54</v>
      </c>
      <c r="N65" s="4" t="s">
        <v>55</v>
      </c>
      <c r="O65">
        <v>3.7100000000000001E-2</v>
      </c>
      <c r="P65" t="s">
        <v>58</v>
      </c>
    </row>
    <row r="66" spans="5:17" ht="18" x14ac:dyDescent="0.35">
      <c r="E66" s="7" t="s">
        <v>49</v>
      </c>
      <c r="F66" s="6">
        <v>1.4279999999999999E-2</v>
      </c>
      <c r="G66" s="6">
        <v>0</v>
      </c>
      <c r="H66" s="6">
        <v>2.8500000000000001E-2</v>
      </c>
      <c r="I66" s="6">
        <v>1.428E-3</v>
      </c>
      <c r="J66" s="6">
        <f>2*I66</f>
        <v>2.856E-3</v>
      </c>
      <c r="K66" s="6">
        <v>1.4279999999999999E-2</v>
      </c>
      <c r="L66" s="6">
        <f>(G66*2)+(H66*2)</f>
        <v>5.7000000000000002E-2</v>
      </c>
      <c r="N66" s="2" t="s">
        <v>56</v>
      </c>
      <c r="O66">
        <f>2.035/4</f>
        <v>0.50875000000000004</v>
      </c>
      <c r="P66" t="s">
        <v>58</v>
      </c>
    </row>
    <row r="67" spans="5:17" x14ac:dyDescent="0.25">
      <c r="E67" s="6"/>
      <c r="F67" s="7" t="s">
        <v>39</v>
      </c>
      <c r="G67" s="7"/>
      <c r="H67" s="7" t="s">
        <v>53</v>
      </c>
      <c r="N67" t="s">
        <v>73</v>
      </c>
      <c r="O67">
        <f>2.035/0.0371</f>
        <v>54.851752021563343</v>
      </c>
    </row>
    <row r="68" spans="5:17" ht="18" x14ac:dyDescent="0.35">
      <c r="E68" s="8" t="s">
        <v>51</v>
      </c>
      <c r="F68" s="6">
        <v>0.18956399999999998</v>
      </c>
      <c r="G68" s="6" t="s">
        <v>40</v>
      </c>
      <c r="H68" s="6">
        <v>0.4353894808099984</v>
      </c>
    </row>
    <row r="69" spans="5:17" ht="18" x14ac:dyDescent="0.35">
      <c r="E69" s="8" t="s">
        <v>52</v>
      </c>
      <c r="F69" s="6">
        <v>0.104064</v>
      </c>
      <c r="G69" s="6" t="s">
        <v>40</v>
      </c>
      <c r="H69" s="6">
        <v>0.32258952245849526</v>
      </c>
    </row>
    <row r="74" spans="5:17" x14ac:dyDescent="0.25">
      <c r="O74" s="4" t="s">
        <v>69</v>
      </c>
    </row>
    <row r="75" spans="5:17" x14ac:dyDescent="0.25">
      <c r="F75" t="s">
        <v>59</v>
      </c>
      <c r="K75" s="4" t="s">
        <v>67</v>
      </c>
      <c r="L75" s="4" t="s">
        <v>62</v>
      </c>
      <c r="M75" s="4" t="s">
        <v>68</v>
      </c>
      <c r="N75" s="4" t="s">
        <v>63</v>
      </c>
      <c r="O75" s="4" t="s">
        <v>64</v>
      </c>
      <c r="P75" s="4" t="s">
        <v>65</v>
      </c>
      <c r="Q75" s="4" t="s">
        <v>66</v>
      </c>
    </row>
    <row r="76" spans="5:17" ht="18.75" x14ac:dyDescent="0.35">
      <c r="K76" s="2" t="s">
        <v>42</v>
      </c>
      <c r="L76">
        <f>0.1*0.01</f>
        <v>1E-3</v>
      </c>
      <c r="M76">
        <v>3.5000000000000003E-2</v>
      </c>
      <c r="N76">
        <f>L76/M76</f>
        <v>2.8571428571428571E-2</v>
      </c>
      <c r="O76">
        <v>-2</v>
      </c>
      <c r="P76">
        <f>O76*O76</f>
        <v>4</v>
      </c>
      <c r="Q76">
        <f>N76*P76</f>
        <v>0.11428571428571428</v>
      </c>
    </row>
    <row r="77" spans="5:17" ht="18.75" x14ac:dyDescent="0.35">
      <c r="F77" t="s">
        <v>60</v>
      </c>
      <c r="G77" t="s">
        <v>61</v>
      </c>
      <c r="K77" s="2" t="s">
        <v>43</v>
      </c>
      <c r="L77">
        <f>(0.1*0.01)+(0.067*0.01)</f>
        <v>1.67E-3</v>
      </c>
      <c r="M77">
        <v>3.5000000000000003E-2</v>
      </c>
      <c r="N77">
        <f t="shared" ref="N77:N82" si="11">L77/M77</f>
        <v>4.7714285714285709E-2</v>
      </c>
      <c r="O77">
        <v>-2</v>
      </c>
      <c r="P77">
        <f t="shared" ref="P77:P82" si="12">O77*O77</f>
        <v>4</v>
      </c>
      <c r="Q77">
        <f t="shared" ref="Q77:Q82" si="13">N77*P77</f>
        <v>0.19085714285714284</v>
      </c>
    </row>
    <row r="78" spans="5:17" ht="18.75" x14ac:dyDescent="0.35">
      <c r="F78">
        <v>3.7100000000000001E-2</v>
      </c>
      <c r="G78">
        <v>0.50875000000000004</v>
      </c>
      <c r="K78" s="2" t="s">
        <v>44</v>
      </c>
      <c r="L78">
        <f>0.01*0.005</f>
        <v>5.0000000000000002E-5</v>
      </c>
      <c r="M78">
        <v>3.5000000000000003E-2</v>
      </c>
      <c r="N78">
        <f t="shared" si="11"/>
        <v>1.4285714285714286E-3</v>
      </c>
      <c r="O78">
        <v>-2</v>
      </c>
      <c r="P78">
        <f t="shared" si="12"/>
        <v>4</v>
      </c>
      <c r="Q78">
        <f t="shared" si="13"/>
        <v>5.7142857142857143E-3</v>
      </c>
    </row>
    <row r="79" spans="5:17" ht="17.25" x14ac:dyDescent="0.25">
      <c r="K79" s="2" t="s">
        <v>41</v>
      </c>
      <c r="L79">
        <f>0.1*0.01</f>
        <v>1E-3</v>
      </c>
      <c r="M79">
        <v>3.5000000000000003E-2</v>
      </c>
      <c r="N79">
        <f t="shared" si="11"/>
        <v>2.8571428571428571E-2</v>
      </c>
      <c r="O79">
        <v>1</v>
      </c>
      <c r="P79">
        <f t="shared" si="12"/>
        <v>1</v>
      </c>
      <c r="Q79">
        <f t="shared" si="13"/>
        <v>2.8571428571428571E-2</v>
      </c>
    </row>
    <row r="80" spans="5:17" ht="18.75" x14ac:dyDescent="0.35">
      <c r="F80">
        <f>F78-G78</f>
        <v>-0.47165000000000001</v>
      </c>
      <c r="G80">
        <v>0.47165000000000001</v>
      </c>
      <c r="K80" s="2" t="s">
        <v>47</v>
      </c>
      <c r="L80">
        <f>(0.1*2*0.01)+(0.1*2*0.01)+(0.067*2*0.01)</f>
        <v>5.3400000000000001E-3</v>
      </c>
      <c r="M80">
        <v>3.5000000000000003E-2</v>
      </c>
      <c r="N80">
        <f>L80/M80</f>
        <v>0.15257142857142855</v>
      </c>
      <c r="O80">
        <v>1</v>
      </c>
      <c r="P80">
        <f t="shared" si="12"/>
        <v>1</v>
      </c>
      <c r="Q80">
        <f t="shared" si="13"/>
        <v>0.15257142857142855</v>
      </c>
    </row>
    <row r="81" spans="6:18" ht="17.25" x14ac:dyDescent="0.25">
      <c r="F81">
        <f>F80/F78</f>
        <v>-12.712938005390836</v>
      </c>
      <c r="G81">
        <f>G80/F78</f>
        <v>12.712938005390836</v>
      </c>
      <c r="K81" s="2" t="s">
        <v>46</v>
      </c>
      <c r="L81">
        <f>0.1*0.01</f>
        <v>1E-3</v>
      </c>
      <c r="M81">
        <v>3.5000000000000003E-2</v>
      </c>
      <c r="N81">
        <f t="shared" si="11"/>
        <v>2.8571428571428571E-2</v>
      </c>
      <c r="O81">
        <v>1</v>
      </c>
      <c r="P81">
        <f t="shared" si="12"/>
        <v>1</v>
      </c>
      <c r="Q81">
        <f t="shared" si="13"/>
        <v>2.8571428571428571E-2</v>
      </c>
    </row>
    <row r="82" spans="6:18" ht="17.25" x14ac:dyDescent="0.25">
      <c r="G82">
        <f>G81*100</f>
        <v>1271.2938005390836</v>
      </c>
      <c r="K82" s="2" t="s">
        <v>45</v>
      </c>
      <c r="L82">
        <f>(0.01*2)*0.005</f>
        <v>1E-4</v>
      </c>
      <c r="M82">
        <v>3.5000000000000003E-2</v>
      </c>
      <c r="N82">
        <f t="shared" si="11"/>
        <v>2.8571428571428571E-3</v>
      </c>
      <c r="O82">
        <v>1</v>
      </c>
      <c r="P82">
        <f t="shared" si="12"/>
        <v>1</v>
      </c>
      <c r="Q82">
        <f t="shared" si="13"/>
        <v>2.8571428571428571E-3</v>
      </c>
    </row>
    <row r="83" spans="6:18" x14ac:dyDescent="0.25">
      <c r="P83" s="4" t="s">
        <v>70</v>
      </c>
      <c r="Q83">
        <f>SUM(Q76:Q82)</f>
        <v>0.52342857142857147</v>
      </c>
    </row>
    <row r="84" spans="6:18" x14ac:dyDescent="0.25">
      <c r="P84" s="4" t="s">
        <v>39</v>
      </c>
      <c r="Q84">
        <f>SQRT(Q83)</f>
        <v>0.72348363590932141</v>
      </c>
      <c r="R84" t="s">
        <v>40</v>
      </c>
    </row>
    <row r="85" spans="6:18" x14ac:dyDescent="0.25">
      <c r="Q85">
        <f>Q84*1000</f>
        <v>723.48363590932138</v>
      </c>
      <c r="R85" t="s">
        <v>72</v>
      </c>
    </row>
    <row r="88" spans="6:18" x14ac:dyDescent="0.25">
      <c r="O88" s="4" t="s">
        <v>69</v>
      </c>
    </row>
    <row r="89" spans="6:18" x14ac:dyDescent="0.25">
      <c r="K89" s="4" t="s">
        <v>71</v>
      </c>
      <c r="L89" s="4" t="s">
        <v>62</v>
      </c>
      <c r="M89" s="4" t="s">
        <v>68</v>
      </c>
      <c r="N89" s="4" t="s">
        <v>63</v>
      </c>
      <c r="O89" s="4" t="s">
        <v>64</v>
      </c>
      <c r="P89" s="4" t="s">
        <v>65</v>
      </c>
      <c r="Q89" s="4" t="s">
        <v>66</v>
      </c>
    </row>
    <row r="90" spans="6:18" ht="18.75" x14ac:dyDescent="0.35">
      <c r="K90" s="2" t="s">
        <v>42</v>
      </c>
      <c r="L90">
        <f>0.1*0.01</f>
        <v>1E-3</v>
      </c>
      <c r="M90">
        <v>3.5000000000000003E-2</v>
      </c>
      <c r="N90">
        <f>L90/M90</f>
        <v>2.8571428571428571E-2</v>
      </c>
      <c r="O90">
        <v>-2</v>
      </c>
      <c r="P90">
        <f>O90*O90</f>
        <v>4</v>
      </c>
      <c r="Q90">
        <f>N90*P90</f>
        <v>0.11428571428571428</v>
      </c>
    </row>
    <row r="91" spans="6:18" ht="18.75" x14ac:dyDescent="0.35">
      <c r="K91" s="2" t="s">
        <v>43</v>
      </c>
      <c r="L91">
        <f>(0.067*0.01)</f>
        <v>6.7000000000000002E-4</v>
      </c>
      <c r="M91">
        <v>3.5000000000000003E-2</v>
      </c>
      <c r="N91">
        <f t="shared" ref="N91:N93" si="14">L91/M91</f>
        <v>1.9142857142857142E-2</v>
      </c>
      <c r="O91">
        <v>-2</v>
      </c>
      <c r="P91">
        <f t="shared" ref="P91:P96" si="15">O91*O91</f>
        <v>4</v>
      </c>
      <c r="Q91">
        <f t="shared" ref="Q91:Q96" si="16">N91*P91</f>
        <v>7.6571428571428568E-2</v>
      </c>
    </row>
    <row r="92" spans="6:18" ht="18.75" x14ac:dyDescent="0.35">
      <c r="K92" s="2" t="s">
        <v>44</v>
      </c>
      <c r="L92">
        <f>0.01*0.005</f>
        <v>5.0000000000000002E-5</v>
      </c>
      <c r="M92">
        <v>3.5000000000000003E-2</v>
      </c>
      <c r="N92">
        <f t="shared" si="14"/>
        <v>1.4285714285714286E-3</v>
      </c>
      <c r="O92">
        <v>-2</v>
      </c>
      <c r="P92">
        <f t="shared" si="15"/>
        <v>4</v>
      </c>
      <c r="Q92">
        <f t="shared" si="16"/>
        <v>5.7142857142857143E-3</v>
      </c>
    </row>
    <row r="93" spans="6:18" ht="17.25" x14ac:dyDescent="0.25">
      <c r="K93" s="2" t="s">
        <v>41</v>
      </c>
      <c r="L93">
        <f>0.1*0.01</f>
        <v>1E-3</v>
      </c>
      <c r="M93">
        <v>3.5000000000000003E-2</v>
      </c>
      <c r="N93">
        <f t="shared" si="14"/>
        <v>2.8571428571428571E-2</v>
      </c>
      <c r="O93">
        <v>1</v>
      </c>
      <c r="P93">
        <f t="shared" si="15"/>
        <v>1</v>
      </c>
      <c r="Q93">
        <f t="shared" si="16"/>
        <v>2.8571428571428571E-2</v>
      </c>
    </row>
    <row r="94" spans="6:18" ht="18.75" x14ac:dyDescent="0.35">
      <c r="K94" s="2" t="s">
        <v>47</v>
      </c>
      <c r="L94">
        <f>(0.1*2*0.01)+(0.067*2*0.01)</f>
        <v>3.3400000000000001E-3</v>
      </c>
      <c r="M94">
        <v>3.5000000000000003E-2</v>
      </c>
      <c r="N94">
        <f>L94/M94</f>
        <v>9.5428571428571418E-2</v>
      </c>
      <c r="O94">
        <v>1</v>
      </c>
      <c r="P94">
        <f t="shared" si="15"/>
        <v>1</v>
      </c>
      <c r="Q94">
        <f t="shared" si="16"/>
        <v>9.5428571428571418E-2</v>
      </c>
    </row>
    <row r="95" spans="6:18" ht="17.25" x14ac:dyDescent="0.25">
      <c r="K95" s="2" t="s">
        <v>46</v>
      </c>
      <c r="L95">
        <f>0.1*0.01</f>
        <v>1E-3</v>
      </c>
      <c r="M95">
        <v>3.5000000000000003E-2</v>
      </c>
      <c r="N95">
        <f t="shared" ref="N95:N96" si="17">L95/M95</f>
        <v>2.8571428571428571E-2</v>
      </c>
      <c r="O95">
        <v>1</v>
      </c>
      <c r="P95">
        <f t="shared" si="15"/>
        <v>1</v>
      </c>
      <c r="Q95">
        <f t="shared" si="16"/>
        <v>2.8571428571428571E-2</v>
      </c>
    </row>
    <row r="96" spans="6:18" ht="17.25" x14ac:dyDescent="0.25">
      <c r="K96" s="2" t="s">
        <v>45</v>
      </c>
      <c r="L96">
        <f>(0.01*2)*0.005</f>
        <v>1E-4</v>
      </c>
      <c r="M96">
        <v>3.5000000000000003E-2</v>
      </c>
      <c r="N96">
        <f t="shared" si="17"/>
        <v>2.8571428571428571E-3</v>
      </c>
      <c r="O96">
        <v>1</v>
      </c>
      <c r="P96">
        <f t="shared" si="15"/>
        <v>1</v>
      </c>
      <c r="Q96">
        <f t="shared" si="16"/>
        <v>2.8571428571428571E-3</v>
      </c>
    </row>
    <row r="97" spans="16:18" x14ac:dyDescent="0.25">
      <c r="P97" s="4" t="s">
        <v>70</v>
      </c>
      <c r="Q97">
        <f>SUM(Q90:Q96)</f>
        <v>0.35199999999999998</v>
      </c>
    </row>
    <row r="98" spans="16:18" x14ac:dyDescent="0.25">
      <c r="P98" s="4" t="s">
        <v>39</v>
      </c>
      <c r="Q98">
        <f>SQRT(Q97)</f>
        <v>0.59329587896765301</v>
      </c>
      <c r="R98" t="s">
        <v>40</v>
      </c>
    </row>
    <row r="99" spans="16:18" x14ac:dyDescent="0.25">
      <c r="Q99">
        <f>Q98*1000</f>
        <v>593.29587896765304</v>
      </c>
      <c r="R99" t="s">
        <v>72</v>
      </c>
    </row>
  </sheetData>
  <pageMargins left="0.7" right="0.7" top="0.75" bottom="0.75" header="0.3" footer="0.3"/>
  <pageSetup paperSize="9" orientation="portrait" verticalDpi="0" r:id="rId1"/>
  <ignoredErrors>
    <ignoredError sqref="O19 L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2022-03-04T15:06:25Z</dcterms:modified>
</cp:coreProperties>
</file>