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Studium\PC Praktikum\A23\"/>
    </mc:Choice>
  </mc:AlternateContent>
  <xr:revisionPtr revIDLastSave="0" documentId="13_ncr:1_{3BD6AC15-FE8C-4DE6-924F-157F4D8725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" i="1" l="1" a="1"/>
  <c r="M84" i="1" s="1"/>
  <c r="Q25" i="1"/>
  <c r="N25" i="1"/>
  <c r="L71" i="1" a="1"/>
  <c r="L71" i="1" s="1"/>
  <c r="N26" i="1"/>
  <c r="I28" i="1" s="1"/>
  <c r="C9" i="1" s="1"/>
  <c r="E15" i="1"/>
  <c r="J10" i="1"/>
  <c r="E10" i="1"/>
  <c r="Q9" i="1"/>
  <c r="T11" i="1"/>
  <c r="T10" i="1"/>
  <c r="T9" i="1"/>
  <c r="X11" i="1"/>
  <c r="X10" i="1"/>
  <c r="X9" i="1"/>
  <c r="Q11" i="1"/>
  <c r="Q10" i="1"/>
  <c r="J20" i="1"/>
  <c r="J19" i="1"/>
  <c r="J18" i="1"/>
  <c r="J17" i="1"/>
  <c r="J16" i="1"/>
  <c r="J15" i="1"/>
  <c r="J14" i="1"/>
  <c r="J13" i="1"/>
  <c r="J12" i="1"/>
  <c r="J11" i="1"/>
  <c r="J9" i="1"/>
  <c r="E22" i="1"/>
  <c r="E21" i="1"/>
  <c r="E20" i="1"/>
  <c r="E19" i="1"/>
  <c r="E18" i="1"/>
  <c r="E17" i="1"/>
  <c r="E16" i="1"/>
  <c r="E14" i="1"/>
  <c r="E13" i="1"/>
  <c r="E12" i="1"/>
  <c r="E11" i="1"/>
  <c r="E9" i="1"/>
  <c r="M85" i="1" l="1"/>
  <c r="L85" i="1"/>
  <c r="L84" i="1"/>
  <c r="M72" i="1"/>
  <c r="L72" i="1"/>
  <c r="M71" i="1"/>
  <c r="L15" i="1"/>
  <c r="M15" i="1" s="1"/>
  <c r="L9" i="1"/>
  <c r="M9" i="1" s="1"/>
  <c r="C20" i="1"/>
  <c r="D20" i="1" s="1"/>
  <c r="C13" i="1"/>
  <c r="D13" i="1" s="1"/>
  <c r="C18" i="1"/>
  <c r="D18" i="1" s="1"/>
  <c r="C21" i="1"/>
  <c r="C15" i="1"/>
  <c r="D15" i="1" s="1"/>
  <c r="C22" i="1"/>
  <c r="L17" i="1"/>
  <c r="M17" i="1" s="1"/>
  <c r="L20" i="1"/>
  <c r="M20" i="1" s="1"/>
  <c r="L10" i="1"/>
  <c r="M10" i="1" s="1"/>
  <c r="S51" i="1" s="1" a="1"/>
  <c r="S51" i="1" s="1"/>
  <c r="C23" i="1"/>
  <c r="L11" i="1"/>
  <c r="M11" i="1" s="1"/>
  <c r="D9" i="1"/>
  <c r="C14" i="1"/>
  <c r="D14" i="1" s="1"/>
  <c r="C19" i="1"/>
  <c r="D19" i="1" s="1"/>
  <c r="L12" i="1"/>
  <c r="M12" i="1" s="1"/>
  <c r="C10" i="1"/>
  <c r="D10" i="1" s="1"/>
  <c r="C11" i="1"/>
  <c r="D11" i="1" s="1"/>
  <c r="L18" i="1"/>
  <c r="M18" i="1" s="1"/>
  <c r="L13" i="1"/>
  <c r="M13" i="1" s="1"/>
  <c r="L19" i="1"/>
  <c r="M19" i="1" s="1"/>
  <c r="L14" i="1"/>
  <c r="M14" i="1" s="1"/>
  <c r="C12" i="1"/>
  <c r="D12" i="1" s="1"/>
  <c r="S59" i="1" s="1" a="1"/>
  <c r="C17" i="1"/>
  <c r="D17" i="1" s="1"/>
  <c r="L16" i="1"/>
  <c r="M16" i="1" s="1"/>
  <c r="C16" i="1"/>
  <c r="D16" i="1" s="1"/>
  <c r="G22" i="1"/>
  <c r="G21" i="1"/>
  <c r="G11" i="1"/>
  <c r="G10" i="1"/>
  <c r="G9" i="1"/>
  <c r="G12" i="1"/>
  <c r="G19" i="1"/>
  <c r="G13" i="1"/>
  <c r="G14" i="1"/>
  <c r="G18" i="1"/>
  <c r="G20" i="1"/>
  <c r="G15" i="1"/>
  <c r="G16" i="1"/>
  <c r="G17" i="1"/>
  <c r="S59" i="1" l="1"/>
  <c r="T59" i="1"/>
  <c r="T60" i="1"/>
  <c r="S60" i="1"/>
  <c r="S52" i="1"/>
  <c r="T51" i="1"/>
  <c r="T52" i="1"/>
  <c r="H14" i="1"/>
  <c r="I14" i="1"/>
  <c r="H15" i="1"/>
  <c r="I15" i="1"/>
  <c r="I13" i="1"/>
  <c r="H13" i="1"/>
  <c r="H10" i="1"/>
  <c r="I10" i="1"/>
  <c r="I18" i="1"/>
  <c r="H18" i="1"/>
  <c r="H11" i="1"/>
  <c r="I11" i="1"/>
  <c r="H12" i="1"/>
  <c r="I12" i="1"/>
  <c r="I21" i="1"/>
  <c r="H21" i="1"/>
  <c r="I20" i="1"/>
  <c r="H20" i="1"/>
  <c r="H19" i="1"/>
  <c r="I19" i="1"/>
  <c r="H9" i="1"/>
  <c r="I9" i="1"/>
  <c r="H17" i="1"/>
  <c r="I17" i="1"/>
  <c r="H16" i="1"/>
  <c r="I16" i="1"/>
  <c r="H22" i="1"/>
  <c r="I22" i="1"/>
  <c r="S55" i="1" l="1" a="1"/>
  <c r="S55" i="1" l="1"/>
  <c r="T56" i="1"/>
  <c r="T55" i="1"/>
  <c r="S56" i="1"/>
</calcChain>
</file>

<file path=xl/sharedStrings.xml><?xml version="1.0" encoding="utf-8"?>
<sst xmlns="http://schemas.openxmlformats.org/spreadsheetml/2006/main" count="63" uniqueCount="42">
  <si>
    <t>Lösung 1</t>
  </si>
  <si>
    <t>Lösung 2</t>
  </si>
  <si>
    <t>Lösung 3</t>
  </si>
  <si>
    <t>Zeit t [s]</t>
  </si>
  <si>
    <t>A23 Fotometrische Messung des Zerfalls von Mangan(III)-Oxalat</t>
  </si>
  <si>
    <t>Messlösung</t>
  </si>
  <si>
    <t>0,4 mol/L</t>
  </si>
  <si>
    <t>Oxalsäure</t>
  </si>
  <si>
    <t>0,04 mol/L</t>
  </si>
  <si>
    <t>Stoffmenge n</t>
  </si>
  <si>
    <t>Verhältnis</t>
  </si>
  <si>
    <t>Reaktionsverhältnis Oxalsäure:Mn2+:MnO4</t>
  </si>
  <si>
    <t>Reaktionsgl.</t>
  </si>
  <si>
    <t>Realität</t>
  </si>
  <si>
    <t>Extinktionskoeffizient ε</t>
  </si>
  <si>
    <t>ε = E/cd</t>
  </si>
  <si>
    <t>n Oxal</t>
  </si>
  <si>
    <t>c Oxal</t>
  </si>
  <si>
    <t>L/(mol*cm)</t>
  </si>
  <si>
    <t>c(Oxalsäure)</t>
  </si>
  <si>
    <t>ε =</t>
  </si>
  <si>
    <t xml:space="preserve">ln(c) </t>
  </si>
  <si>
    <t>1/c</t>
  </si>
  <si>
    <t>c(Oxal)</t>
  </si>
  <si>
    <t>ln(c)</t>
  </si>
  <si>
    <t>ND</t>
  </si>
  <si>
    <t>Fehler +/-</t>
  </si>
  <si>
    <t>Fehler für b</t>
  </si>
  <si>
    <t>k(1)</t>
  </si>
  <si>
    <t>k(2)</t>
  </si>
  <si>
    <t>k(3)</t>
  </si>
  <si>
    <t>±</t>
  </si>
  <si>
    <t>Fehler für m bzw. k</t>
  </si>
  <si>
    <t>Steigung m</t>
  </si>
  <si>
    <r>
      <t>MnSO</t>
    </r>
    <r>
      <rPr>
        <b/>
        <vertAlign val="subscript"/>
        <sz val="11"/>
        <color theme="1"/>
        <rFont val="Calibri"/>
        <family val="2"/>
        <scheme val="minor"/>
      </rPr>
      <t>4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</si>
  <si>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</si>
  <si>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KMnO</t>
    </r>
    <r>
      <rPr>
        <b/>
        <vertAlign val="subscript"/>
        <sz val="11"/>
        <color theme="1"/>
        <rFont val="Calibri"/>
        <family val="2"/>
        <scheme val="minor"/>
      </rPr>
      <t>4</t>
    </r>
  </si>
  <si>
    <t>L/(mol*s)</t>
  </si>
  <si>
    <t>&lt;---</t>
  </si>
  <si>
    <t>RGP</t>
  </si>
  <si>
    <t>n Kmno4</t>
  </si>
  <si>
    <t>c kmno4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</si>
</sst>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6" fontId="0" fillId="0" borderId="0" xfId="0" applyNumberFormat="1"/>
    <xf numFmtId="21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0. Ordnung Messung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Tabelle1!$E$9:$E$22</c:f>
              <c:numCache>
                <c:formatCode>General</c:formatCode>
                <c:ptCount val="14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  <c:pt idx="5">
                  <c:v>1080</c:v>
                </c:pt>
                <c:pt idx="6">
                  <c:v>1380</c:v>
                </c:pt>
                <c:pt idx="7">
                  <c:v>1680</c:v>
                </c:pt>
                <c:pt idx="8">
                  <c:v>1980</c:v>
                </c:pt>
                <c:pt idx="9">
                  <c:v>2280</c:v>
                </c:pt>
                <c:pt idx="10">
                  <c:v>2580</c:v>
                </c:pt>
                <c:pt idx="11">
                  <c:v>2880</c:v>
                </c:pt>
                <c:pt idx="12">
                  <c:v>3180</c:v>
                </c:pt>
                <c:pt idx="13">
                  <c:v>3480</c:v>
                </c:pt>
              </c:numCache>
            </c:numRef>
          </c:xVal>
          <c:yVal>
            <c:numRef>
              <c:f>Tabelle1!$G$9:$G$22</c:f>
              <c:numCache>
                <c:formatCode>General</c:formatCode>
                <c:ptCount val="14"/>
                <c:pt idx="0">
                  <c:v>2.6072607260726077E-2</c:v>
                </c:pt>
                <c:pt idx="1">
                  <c:v>2.2376237623762379E-2</c:v>
                </c:pt>
                <c:pt idx="2">
                  <c:v>1.8712871287128712E-2</c:v>
                </c:pt>
                <c:pt idx="3">
                  <c:v>1.5280528052805283E-2</c:v>
                </c:pt>
                <c:pt idx="4">
                  <c:v>8.6138613861386146E-3</c:v>
                </c:pt>
                <c:pt idx="5">
                  <c:v>4.5214521452145223E-3</c:v>
                </c:pt>
                <c:pt idx="6">
                  <c:v>2.3168316831683172E-3</c:v>
                </c:pt>
                <c:pt idx="7">
                  <c:v>1.1749174917491749E-3</c:v>
                </c:pt>
                <c:pt idx="8">
                  <c:v>5.7425742574257423E-4</c:v>
                </c:pt>
                <c:pt idx="9">
                  <c:v>3.3003300330033009E-4</c:v>
                </c:pt>
                <c:pt idx="10">
                  <c:v>2.2442244224422442E-4</c:v>
                </c:pt>
                <c:pt idx="11">
                  <c:v>1.7821782178217824E-4</c:v>
                </c:pt>
                <c:pt idx="12">
                  <c:v>1.4851485148514851E-4</c:v>
                </c:pt>
                <c:pt idx="13">
                  <c:v>1.7821782178217824E-4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84-42CC-93B0-8699B248F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668672"/>
        <c:axId val="1510669504"/>
      </c:scatterChart>
      <c:valAx>
        <c:axId val="1510668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t [s]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69504"/>
        <c:crosses val="autoZero"/>
        <c:crossBetween val="midCat"/>
      </c:valAx>
      <c:valAx>
        <c:axId val="15106695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 [mol/L]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6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1. Ordnung Messung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3590612817233462E-2"/>
                  <c:y val="-0.227767206182560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Tabelle1!$E$9:$E$22</c:f>
              <c:numCache>
                <c:formatCode>General</c:formatCode>
                <c:ptCount val="14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  <c:pt idx="5">
                  <c:v>1080</c:v>
                </c:pt>
                <c:pt idx="6">
                  <c:v>1380</c:v>
                </c:pt>
                <c:pt idx="7">
                  <c:v>1680</c:v>
                </c:pt>
                <c:pt idx="8">
                  <c:v>1980</c:v>
                </c:pt>
                <c:pt idx="9">
                  <c:v>2280</c:v>
                </c:pt>
                <c:pt idx="10">
                  <c:v>2580</c:v>
                </c:pt>
                <c:pt idx="11">
                  <c:v>2880</c:v>
                </c:pt>
                <c:pt idx="12">
                  <c:v>3180</c:v>
                </c:pt>
                <c:pt idx="13">
                  <c:v>3480</c:v>
                </c:pt>
              </c:numCache>
            </c:numRef>
          </c:xVal>
          <c:yVal>
            <c:numRef>
              <c:f>Tabelle1!$H$9:$H$22</c:f>
              <c:numCache>
                <c:formatCode>General</c:formatCode>
                <c:ptCount val="14"/>
                <c:pt idx="0">
                  <c:v>-3.6468700460363932</c:v>
                </c:pt>
                <c:pt idx="1">
                  <c:v>-3.7997557035570648</c:v>
                </c:pt>
                <c:pt idx="2">
                  <c:v>-3.9785436877697085</c:v>
                </c:pt>
                <c:pt idx="3">
                  <c:v>-4.1811759374112265</c:v>
                </c:pt>
                <c:pt idx="4">
                  <c:v>-4.7543825841747669</c:v>
                </c:pt>
                <c:pt idx="5">
                  <c:v>-5.3989220656693355</c:v>
                </c:pt>
                <c:pt idx="6">
                  <c:v>-6.0675546804656948</c:v>
                </c:pt>
                <c:pt idx="7">
                  <c:v>-6.7465573536394761</c:v>
                </c:pt>
                <c:pt idx="8">
                  <c:v>-7.4624327852769774</c:v>
                </c:pt>
                <c:pt idx="9">
                  <c:v>-8.0163178985034147</c:v>
                </c:pt>
                <c:pt idx="10">
                  <c:v>-8.4019803793153987</c:v>
                </c:pt>
                <c:pt idx="11">
                  <c:v>-8.632504037927232</c:v>
                </c:pt>
                <c:pt idx="12">
                  <c:v>-8.8148255947211869</c:v>
                </c:pt>
                <c:pt idx="13">
                  <c:v>-8.632504037927232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BB-42F7-A0E9-34769B14C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672416"/>
        <c:axId val="1510673664"/>
      </c:scatterChart>
      <c:valAx>
        <c:axId val="151067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 b="0" i="0" baseline="0">
                    <a:effectLst/>
                  </a:rPr>
                  <a:t>Zeit t [s]</a:t>
                </a:r>
                <a:endParaRPr lang="de-DE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73664"/>
        <c:crossesAt val="-9"/>
        <c:crossBetween val="midCat"/>
      </c:valAx>
      <c:valAx>
        <c:axId val="1510673664"/>
        <c:scaling>
          <c:orientation val="minMax"/>
          <c:min val="-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7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2. Ordnung Messung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Tabelle1!$E$9:$E$22</c:f>
              <c:numCache>
                <c:formatCode>General</c:formatCode>
                <c:ptCount val="14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  <c:pt idx="5">
                  <c:v>1080</c:v>
                </c:pt>
                <c:pt idx="6">
                  <c:v>1380</c:v>
                </c:pt>
                <c:pt idx="7">
                  <c:v>1680</c:v>
                </c:pt>
                <c:pt idx="8">
                  <c:v>1980</c:v>
                </c:pt>
                <c:pt idx="9">
                  <c:v>2280</c:v>
                </c:pt>
                <c:pt idx="10">
                  <c:v>2580</c:v>
                </c:pt>
                <c:pt idx="11">
                  <c:v>2880</c:v>
                </c:pt>
                <c:pt idx="12">
                  <c:v>3180</c:v>
                </c:pt>
                <c:pt idx="13">
                  <c:v>3480</c:v>
                </c:pt>
              </c:numCache>
            </c:numRef>
          </c:xVal>
          <c:yVal>
            <c:numRef>
              <c:f>Tabelle1!$I$9:$I$22</c:f>
              <c:numCache>
                <c:formatCode>General</c:formatCode>
                <c:ptCount val="14"/>
                <c:pt idx="0">
                  <c:v>38.35443037974683</c:v>
                </c:pt>
                <c:pt idx="1">
                  <c:v>44.690265486725657</c:v>
                </c:pt>
                <c:pt idx="2">
                  <c:v>53.439153439153444</c:v>
                </c:pt>
                <c:pt idx="3">
                  <c:v>65.442764578833689</c:v>
                </c:pt>
                <c:pt idx="4">
                  <c:v>116.0919540229885</c:v>
                </c:pt>
                <c:pt idx="5">
                  <c:v>221.1678832116788</c:v>
                </c:pt>
                <c:pt idx="6">
                  <c:v>431.62393162393158</c:v>
                </c:pt>
                <c:pt idx="7">
                  <c:v>851.12359550561791</c:v>
                </c:pt>
                <c:pt idx="8">
                  <c:v>1741.3793103448277</c:v>
                </c:pt>
                <c:pt idx="9">
                  <c:v>3029.9999999999995</c:v>
                </c:pt>
                <c:pt idx="10">
                  <c:v>4455.8823529411766</c:v>
                </c:pt>
                <c:pt idx="11">
                  <c:v>5611.1111111111104</c:v>
                </c:pt>
                <c:pt idx="12">
                  <c:v>6733.3333333333339</c:v>
                </c:pt>
                <c:pt idx="13">
                  <c:v>5611.1111111111104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DD-47C7-AC21-7DE8D788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683648"/>
        <c:axId val="1510671584"/>
      </c:scatterChart>
      <c:valAx>
        <c:axId val="1510683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 b="0" i="0" baseline="0">
                    <a:effectLst/>
                  </a:rPr>
                  <a:t>Zeit t [s]</a:t>
                </a:r>
                <a:endParaRPr lang="de-DE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71584"/>
        <c:crosses val="autoZero"/>
        <c:crossBetween val="midCat"/>
      </c:valAx>
      <c:valAx>
        <c:axId val="1510671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1/c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83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Messung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9797681539807523E-2"/>
                  <c:y val="-0.229907042869641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Tabelle1!$J$9:$J$20</c:f>
              <c:numCache>
                <c:formatCode>General</c:formatCode>
                <c:ptCount val="12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  <c:pt idx="5">
                  <c:v>1110</c:v>
                </c:pt>
                <c:pt idx="6">
                  <c:v>1410</c:v>
                </c:pt>
                <c:pt idx="7">
                  <c:v>1710</c:v>
                </c:pt>
                <c:pt idx="8">
                  <c:v>2010</c:v>
                </c:pt>
                <c:pt idx="9">
                  <c:v>2310</c:v>
                </c:pt>
                <c:pt idx="10">
                  <c:v>2610</c:v>
                </c:pt>
                <c:pt idx="11">
                  <c:v>2910</c:v>
                </c:pt>
              </c:numCache>
            </c:numRef>
          </c:xVal>
          <c:yVal>
            <c:numRef>
              <c:f>Tabelle1!$M$9:$M$20</c:f>
              <c:numCache>
                <c:formatCode>General</c:formatCode>
                <c:ptCount val="12"/>
                <c:pt idx="0">
                  <c:v>-3.1642876345837974</c:v>
                </c:pt>
                <c:pt idx="1">
                  <c:v>-3.2880455153813397</c:v>
                </c:pt>
                <c:pt idx="2">
                  <c:v>-3.4624410069028739</c:v>
                </c:pt>
                <c:pt idx="3">
                  <c:v>-3.6777208217568691</c:v>
                </c:pt>
                <c:pt idx="4">
                  <c:v>-4.3027458317991067</c:v>
                </c:pt>
                <c:pt idx="5">
                  <c:v>-4.8516870884876102</c:v>
                </c:pt>
                <c:pt idx="6">
                  <c:v>-4.9562033660201559</c:v>
                </c:pt>
                <c:pt idx="7">
                  <c:v>-4.9689423917975857</c:v>
                </c:pt>
                <c:pt idx="8">
                  <c:v>-4.9983350160146038</c:v>
                </c:pt>
                <c:pt idx="9">
                  <c:v>-5.1949390120942018</c:v>
                </c:pt>
                <c:pt idx="10">
                  <c:v>-5.1949390120942018</c:v>
                </c:pt>
                <c:pt idx="11">
                  <c:v>-5.2009091790807052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64-4147-BFD1-9F52A1BD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604832"/>
        <c:axId val="1516605664"/>
      </c:scatterChart>
      <c:valAx>
        <c:axId val="1516604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t [s]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6605664"/>
        <c:crossesAt val="-6"/>
        <c:crossBetween val="midCat"/>
      </c:valAx>
      <c:valAx>
        <c:axId val="15166056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ln(c)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8985507246376812E-2"/>
              <c:y val="0.405721420239136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6604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590048118985127"/>
          <c:y val="0.13004629629629633"/>
          <c:w val="0.82265507436570429"/>
          <c:h val="0.71162839020122481"/>
        </c:manualLayout>
      </c:layout>
      <c:scatterChart>
        <c:scatterStyle val="lineMarker"/>
        <c:varyColors val="0"/>
        <c:ser>
          <c:idx val="0"/>
          <c:order val="0"/>
          <c:tx>
            <c:v>Messung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7.6990376202974624E-3"/>
                  <c:y val="-0.313139034703995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4.4171478565179355E-2"/>
                  <c:y val="-0.243694590259550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Tabelle1!$A$9:$A$23</c:f>
              <c:numCache>
                <c:formatCode>General</c:formatCode>
                <c:ptCount val="15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  <c:pt idx="5">
                  <c:v>1080</c:v>
                </c:pt>
                <c:pt idx="6">
                  <c:v>1380</c:v>
                </c:pt>
                <c:pt idx="7">
                  <c:v>1680</c:v>
                </c:pt>
                <c:pt idx="8">
                  <c:v>1980</c:v>
                </c:pt>
                <c:pt idx="9">
                  <c:v>2280</c:v>
                </c:pt>
                <c:pt idx="10">
                  <c:v>2580</c:v>
                </c:pt>
                <c:pt idx="11">
                  <c:v>2880</c:v>
                </c:pt>
                <c:pt idx="12">
                  <c:v>3180</c:v>
                </c:pt>
                <c:pt idx="13">
                  <c:v>3480</c:v>
                </c:pt>
                <c:pt idx="14">
                  <c:v>3780</c:v>
                </c:pt>
              </c:numCache>
            </c:numRef>
          </c:xVal>
          <c:yVal>
            <c:numRef>
              <c:f>Tabelle1!$D$9:$D$20</c:f>
              <c:numCache>
                <c:formatCode>General</c:formatCode>
                <c:ptCount val="12"/>
                <c:pt idx="0">
                  <c:v>-4.6051701859880909</c:v>
                </c:pt>
                <c:pt idx="1">
                  <c:v>-4.7241916118956215</c:v>
                </c:pt>
                <c:pt idx="2">
                  <c:v>-4.8721656198311507</c:v>
                </c:pt>
                <c:pt idx="3">
                  <c:v>-5.0459034329337138</c:v>
                </c:pt>
                <c:pt idx="4">
                  <c:v>-5.539779498385931</c:v>
                </c:pt>
                <c:pt idx="5">
                  <c:v>-6.0747026737309824</c:v>
                </c:pt>
                <c:pt idx="6">
                  <c:v>-6.6604827448682329</c:v>
                </c:pt>
                <c:pt idx="7">
                  <c:v>-7.2743805537740371</c:v>
                </c:pt>
                <c:pt idx="8">
                  <c:v>-8.0163178985034147</c:v>
                </c:pt>
                <c:pt idx="9">
                  <c:v>-8.4471008145958688</c:v>
                </c:pt>
                <c:pt idx="10">
                  <c:v>-9.5304456311331904</c:v>
                </c:pt>
                <c:pt idx="11">
                  <c:v>-10.31890299149746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7B-4582-AF5A-2A61D791C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2750512"/>
        <c:axId val="1552760496"/>
      </c:scatterChart>
      <c:valAx>
        <c:axId val="1552750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Zeit t [s]</a:t>
                </a:r>
                <a:endParaRPr lang="de-D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52760496"/>
        <c:crossesAt val="-10"/>
        <c:crossBetween val="midCat"/>
      </c:valAx>
      <c:valAx>
        <c:axId val="1552760496"/>
        <c:scaling>
          <c:orientation val="minMax"/>
          <c:min val="-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ln(c)</a:t>
                </a:r>
                <a:endParaRPr lang="de-D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52750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Messung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9797681539807523E-2"/>
                  <c:y val="-0.229907042869641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Tabelle1!$J$9:$J$13</c:f>
              <c:numCache>
                <c:formatCode>General</c:formatCode>
                <c:ptCount val="5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</c:numCache>
            </c:numRef>
          </c:xVal>
          <c:yVal>
            <c:numRef>
              <c:f>Tabelle1!$M$9:$M$13</c:f>
              <c:numCache>
                <c:formatCode>General</c:formatCode>
                <c:ptCount val="5"/>
                <c:pt idx="0">
                  <c:v>-3.1642876345837974</c:v>
                </c:pt>
                <c:pt idx="1">
                  <c:v>-3.2880455153813397</c:v>
                </c:pt>
                <c:pt idx="2">
                  <c:v>-3.4624410069028739</c:v>
                </c:pt>
                <c:pt idx="3">
                  <c:v>-3.6777208217568691</c:v>
                </c:pt>
                <c:pt idx="4">
                  <c:v>-4.3027458317991067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FC-449E-BF54-F24102E39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604832"/>
        <c:axId val="1516605664"/>
      </c:scatterChart>
      <c:valAx>
        <c:axId val="1516604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  <a:r>
                  <a:rPr lang="de-DE" baseline="0"/>
                  <a:t> t [s]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6605664"/>
        <c:crossesAt val="-6"/>
        <c:crossBetween val="midCat"/>
      </c:valAx>
      <c:valAx>
        <c:axId val="15166056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ln(c)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8985507246376812E-2"/>
              <c:y val="0.405721420239136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6604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1. Ordnung Messung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3590612817233462E-2"/>
                  <c:y val="-0.227767206182560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Tabelle1!$E$9:$E$21</c:f>
              <c:numCache>
                <c:formatCode>General</c:formatCode>
                <c:ptCount val="13"/>
                <c:pt idx="0">
                  <c:v>120</c:v>
                </c:pt>
                <c:pt idx="1">
                  <c:v>240</c:v>
                </c:pt>
                <c:pt idx="2">
                  <c:v>360</c:v>
                </c:pt>
                <c:pt idx="3">
                  <c:v>480</c:v>
                </c:pt>
                <c:pt idx="4">
                  <c:v>780</c:v>
                </c:pt>
                <c:pt idx="5">
                  <c:v>1080</c:v>
                </c:pt>
                <c:pt idx="6">
                  <c:v>1380</c:v>
                </c:pt>
                <c:pt idx="7">
                  <c:v>1680</c:v>
                </c:pt>
                <c:pt idx="8">
                  <c:v>1980</c:v>
                </c:pt>
                <c:pt idx="9">
                  <c:v>2280</c:v>
                </c:pt>
                <c:pt idx="10">
                  <c:v>2580</c:v>
                </c:pt>
                <c:pt idx="11">
                  <c:v>2880</c:v>
                </c:pt>
                <c:pt idx="12">
                  <c:v>3180</c:v>
                </c:pt>
              </c:numCache>
            </c:numRef>
          </c:xVal>
          <c:yVal>
            <c:numRef>
              <c:f>Tabelle1!$H$9:$H$21</c:f>
              <c:numCache>
                <c:formatCode>General</c:formatCode>
                <c:ptCount val="13"/>
                <c:pt idx="0">
                  <c:v>-3.6468700460363932</c:v>
                </c:pt>
                <c:pt idx="1">
                  <c:v>-3.7997557035570648</c:v>
                </c:pt>
                <c:pt idx="2">
                  <c:v>-3.9785436877697085</c:v>
                </c:pt>
                <c:pt idx="3">
                  <c:v>-4.1811759374112265</c:v>
                </c:pt>
                <c:pt idx="4">
                  <c:v>-4.7543825841747669</c:v>
                </c:pt>
                <c:pt idx="5">
                  <c:v>-5.3989220656693355</c:v>
                </c:pt>
                <c:pt idx="6">
                  <c:v>-6.0675546804656948</c:v>
                </c:pt>
                <c:pt idx="7">
                  <c:v>-6.7465573536394761</c:v>
                </c:pt>
                <c:pt idx="8">
                  <c:v>-7.4624327852769774</c:v>
                </c:pt>
                <c:pt idx="9">
                  <c:v>-8.0163178985034147</c:v>
                </c:pt>
                <c:pt idx="10">
                  <c:v>-8.4019803793153987</c:v>
                </c:pt>
                <c:pt idx="11">
                  <c:v>-8.632504037927232</c:v>
                </c:pt>
                <c:pt idx="12">
                  <c:v>-8.8148255947211869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E5-4C17-AF85-BFB96CF2B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672416"/>
        <c:axId val="1510673664"/>
      </c:scatterChart>
      <c:valAx>
        <c:axId val="151067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 b="0" i="0" baseline="0">
                    <a:effectLst/>
                  </a:rPr>
                  <a:t>Zeit t [s]</a:t>
                </a:r>
                <a:endParaRPr lang="de-DE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73664"/>
        <c:crossesAt val="-9"/>
        <c:crossBetween val="midCat"/>
      </c:valAx>
      <c:valAx>
        <c:axId val="1510673664"/>
        <c:scaling>
          <c:orientation val="minMax"/>
          <c:min val="-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067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29</xdr:row>
      <xdr:rowOff>23812</xdr:rowOff>
    </xdr:from>
    <xdr:to>
      <xdr:col>9</xdr:col>
      <xdr:colOff>76200</xdr:colOff>
      <xdr:row>43</xdr:row>
      <xdr:rowOff>100012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CAC6AB1-635C-4425-8880-14A10DD2EA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29</xdr:row>
      <xdr:rowOff>14287</xdr:rowOff>
    </xdr:from>
    <xdr:to>
      <xdr:col>16</xdr:col>
      <xdr:colOff>447675</xdr:colOff>
      <xdr:row>43</xdr:row>
      <xdr:rowOff>90487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328BB4F-7AE7-4A1D-B402-881F35172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19050</xdr:colOff>
      <xdr:row>29</xdr:row>
      <xdr:rowOff>33337</xdr:rowOff>
    </xdr:from>
    <xdr:to>
      <xdr:col>22</xdr:col>
      <xdr:colOff>314325</xdr:colOff>
      <xdr:row>43</xdr:row>
      <xdr:rowOff>109537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52809D0-7131-465C-846D-47A8801ED1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45</xdr:row>
      <xdr:rowOff>185737</xdr:rowOff>
    </xdr:from>
    <xdr:to>
      <xdr:col>9</xdr:col>
      <xdr:colOff>95250</xdr:colOff>
      <xdr:row>60</xdr:row>
      <xdr:rowOff>71437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55F7E9A-AD10-4102-8B00-CBC650AFF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447675</xdr:colOff>
      <xdr:row>46</xdr:row>
      <xdr:rowOff>14287</xdr:rowOff>
    </xdr:from>
    <xdr:to>
      <xdr:col>16</xdr:col>
      <xdr:colOff>581025</xdr:colOff>
      <xdr:row>60</xdr:row>
      <xdr:rowOff>90487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4B97663-1ED4-4DDD-9F77-992AB2EABA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62</xdr:row>
      <xdr:rowOff>9525</xdr:rowOff>
    </xdr:from>
    <xdr:to>
      <xdr:col>9</xdr:col>
      <xdr:colOff>85725</xdr:colOff>
      <xdr:row>76</xdr:row>
      <xdr:rowOff>85725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B1B92A09-02C2-4237-B18C-09DA25C87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47625</xdr:colOff>
      <xdr:row>80</xdr:row>
      <xdr:rowOff>9525</xdr:rowOff>
    </xdr:from>
    <xdr:to>
      <xdr:col>9</xdr:col>
      <xdr:colOff>190500</xdr:colOff>
      <xdr:row>94</xdr:row>
      <xdr:rowOff>85725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FC95F11F-946C-4DBE-9736-9F716D473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Y85"/>
  <sheetViews>
    <sheetView tabSelected="1" topLeftCell="A42" workbookViewId="0">
      <selection activeCell="O66" sqref="O66"/>
    </sheetView>
  </sheetViews>
  <sheetFormatPr baseColWidth="10" defaultColWidth="9.140625" defaultRowHeight="15" x14ac:dyDescent="0.25"/>
  <cols>
    <col min="7" max="7" width="12.85546875" customWidth="1"/>
    <col min="8" max="8" width="12.28515625" customWidth="1"/>
    <col min="11" max="11" width="12" bestFit="1" customWidth="1"/>
    <col min="12" max="12" width="12.140625" customWidth="1"/>
    <col min="14" max="14" width="11.140625" customWidth="1"/>
    <col min="15" max="15" width="11.42578125" customWidth="1"/>
    <col min="16" max="16" width="13.5703125" customWidth="1"/>
    <col min="17" max="17" width="14" customWidth="1"/>
    <col min="18" max="18" width="13.140625" customWidth="1"/>
    <col min="19" max="19" width="18" customWidth="1"/>
    <col min="20" max="20" width="11.140625" customWidth="1"/>
    <col min="21" max="21" width="14.28515625" customWidth="1"/>
    <col min="22" max="22" width="13.42578125" customWidth="1"/>
    <col min="23" max="23" width="14.5703125" customWidth="1"/>
    <col min="24" max="24" width="14.85546875" customWidth="1"/>
    <col min="25" max="25" width="11" customWidth="1"/>
  </cols>
  <sheetData>
    <row r="3" spans="1:25" ht="39" x14ac:dyDescent="0.6">
      <c r="C3" s="2" t="s">
        <v>4</v>
      </c>
    </row>
    <row r="7" spans="1:25" x14ac:dyDescent="0.25">
      <c r="O7" s="1"/>
      <c r="P7" s="10" t="s">
        <v>6</v>
      </c>
      <c r="Q7" s="1" t="s">
        <v>9</v>
      </c>
      <c r="R7" s="1" t="s">
        <v>10</v>
      </c>
      <c r="S7" s="10" t="s">
        <v>6</v>
      </c>
      <c r="T7" s="1" t="s">
        <v>9</v>
      </c>
      <c r="U7" s="1" t="s">
        <v>10</v>
      </c>
      <c r="V7" s="10"/>
      <c r="W7" s="10" t="s">
        <v>8</v>
      </c>
      <c r="X7" s="1" t="s">
        <v>9</v>
      </c>
      <c r="Y7" s="1" t="s">
        <v>10</v>
      </c>
    </row>
    <row r="8" spans="1:25" ht="18" x14ac:dyDescent="0.35">
      <c r="A8" s="1" t="s">
        <v>3</v>
      </c>
      <c r="B8" s="1" t="s">
        <v>2</v>
      </c>
      <c r="C8" s="1" t="s">
        <v>23</v>
      </c>
      <c r="D8" s="1" t="s">
        <v>24</v>
      </c>
      <c r="E8" s="1" t="s">
        <v>3</v>
      </c>
      <c r="F8" s="1" t="s">
        <v>1</v>
      </c>
      <c r="G8" s="1" t="s">
        <v>19</v>
      </c>
      <c r="H8" s="1" t="s">
        <v>21</v>
      </c>
      <c r="I8" s="1" t="s">
        <v>22</v>
      </c>
      <c r="J8" s="1" t="s">
        <v>3</v>
      </c>
      <c r="K8" s="1" t="s">
        <v>0</v>
      </c>
      <c r="L8" s="1" t="s">
        <v>19</v>
      </c>
      <c r="M8" s="1" t="s">
        <v>21</v>
      </c>
      <c r="O8" s="10" t="s">
        <v>5</v>
      </c>
      <c r="P8" s="10" t="s">
        <v>7</v>
      </c>
      <c r="Q8" s="1" t="s">
        <v>7</v>
      </c>
      <c r="R8" s="1"/>
      <c r="S8" s="10" t="s">
        <v>34</v>
      </c>
      <c r="T8" s="10" t="s">
        <v>34</v>
      </c>
      <c r="U8" s="1"/>
      <c r="V8" s="10" t="s">
        <v>35</v>
      </c>
      <c r="W8" s="10" t="s">
        <v>36</v>
      </c>
      <c r="X8" s="10" t="s">
        <v>36</v>
      </c>
      <c r="Y8" s="1"/>
    </row>
    <row r="9" spans="1:25" x14ac:dyDescent="0.25">
      <c r="A9">
        <v>120</v>
      </c>
      <c r="B9">
        <v>0.30299999999999999</v>
      </c>
      <c r="C9">
        <f>B9/($I$28*1)</f>
        <v>0.01</v>
      </c>
      <c r="D9">
        <f>LN(C9)</f>
        <v>-4.6051701859880909</v>
      </c>
      <c r="E9">
        <f>600-480</f>
        <v>120</v>
      </c>
      <c r="F9">
        <v>0.79</v>
      </c>
      <c r="G9">
        <f>F9/($I$28*1)</f>
        <v>2.6072607260726077E-2</v>
      </c>
      <c r="H9">
        <f>LN(G9)</f>
        <v>-3.6468700460363932</v>
      </c>
      <c r="I9">
        <f>1/G9</f>
        <v>38.35443037974683</v>
      </c>
      <c r="J9">
        <f>1050-930</f>
        <v>120</v>
      </c>
      <c r="K9">
        <v>1.28</v>
      </c>
      <c r="L9">
        <f>K9/($I$28*1)</f>
        <v>4.2244224422442252E-2</v>
      </c>
      <c r="M9">
        <f>LN(L9)</f>
        <v>-3.1642876345837974</v>
      </c>
      <c r="O9">
        <v>1</v>
      </c>
      <c r="P9">
        <v>7</v>
      </c>
      <c r="Q9">
        <f>(0.4*7)/1000</f>
        <v>2.8000000000000004E-3</v>
      </c>
      <c r="R9">
        <v>35</v>
      </c>
      <c r="S9">
        <v>1</v>
      </c>
      <c r="T9">
        <f>(0.4*1)/1000</f>
        <v>4.0000000000000002E-4</v>
      </c>
      <c r="U9">
        <v>5</v>
      </c>
      <c r="V9">
        <v>0</v>
      </c>
      <c r="W9">
        <v>2</v>
      </c>
      <c r="X9">
        <f>(0.04*2)/1000</f>
        <v>8.0000000000000007E-5</v>
      </c>
      <c r="Y9">
        <v>1</v>
      </c>
    </row>
    <row r="10" spans="1:25" x14ac:dyDescent="0.25">
      <c r="A10">
        <v>240</v>
      </c>
      <c r="B10">
        <v>0.26900000000000002</v>
      </c>
      <c r="C10">
        <f t="shared" ref="C10:C23" si="0">B10/($I$28*1)</f>
        <v>8.87788778877888E-3</v>
      </c>
      <c r="D10">
        <f t="shared" ref="D10:D20" si="1">LN(C10)</f>
        <v>-4.7241916118956215</v>
      </c>
      <c r="E10">
        <f>720-480</f>
        <v>240</v>
      </c>
      <c r="F10">
        <v>0.67800000000000005</v>
      </c>
      <c r="G10">
        <f t="shared" ref="G10:G21" si="2">F10/($I$28*1)</f>
        <v>2.2376237623762379E-2</v>
      </c>
      <c r="H10">
        <f t="shared" ref="H10:H22" si="3">LN(G10)</f>
        <v>-3.7997557035570648</v>
      </c>
      <c r="I10">
        <f t="shared" ref="I10:I22" si="4">1/G10</f>
        <v>44.690265486725657</v>
      </c>
      <c r="J10">
        <f>1170-930</f>
        <v>240</v>
      </c>
      <c r="K10">
        <v>1.131</v>
      </c>
      <c r="L10">
        <f t="shared" ref="L10:L20" si="5">K10/($I$28*1)</f>
        <v>3.7326732673267332E-2</v>
      </c>
      <c r="M10">
        <f t="shared" ref="M10:M20" si="6">LN(L10)</f>
        <v>-3.2880455153813397</v>
      </c>
      <c r="O10">
        <v>2</v>
      </c>
      <c r="P10">
        <v>3.5</v>
      </c>
      <c r="Q10">
        <f>(0.4*3.5)/1000</f>
        <v>1.4000000000000002E-3</v>
      </c>
      <c r="R10">
        <v>35</v>
      </c>
      <c r="S10">
        <v>0.5</v>
      </c>
      <c r="T10">
        <f>(0.4*0.5)/1000</f>
        <v>2.0000000000000001E-4</v>
      </c>
      <c r="U10">
        <v>5</v>
      </c>
      <c r="V10">
        <v>5</v>
      </c>
      <c r="W10">
        <v>1</v>
      </c>
      <c r="X10">
        <f>(0.04*1)/1000</f>
        <v>4.0000000000000003E-5</v>
      </c>
      <c r="Y10">
        <v>1</v>
      </c>
    </row>
    <row r="11" spans="1:25" x14ac:dyDescent="0.25">
      <c r="A11">
        <v>360</v>
      </c>
      <c r="B11">
        <v>0.23200000000000001</v>
      </c>
      <c r="C11">
        <f t="shared" si="0"/>
        <v>7.6567656765676581E-3</v>
      </c>
      <c r="D11">
        <f t="shared" si="1"/>
        <v>-4.8721656198311507</v>
      </c>
      <c r="E11">
        <f>840-480</f>
        <v>360</v>
      </c>
      <c r="F11">
        <v>0.56699999999999995</v>
      </c>
      <c r="G11">
        <f t="shared" si="2"/>
        <v>1.8712871287128712E-2</v>
      </c>
      <c r="H11">
        <f t="shared" si="3"/>
        <v>-3.9785436877697085</v>
      </c>
      <c r="I11">
        <f t="shared" si="4"/>
        <v>53.439153439153444</v>
      </c>
      <c r="J11">
        <f>1290-930</f>
        <v>360</v>
      </c>
      <c r="K11">
        <v>0.95</v>
      </c>
      <c r="L11">
        <f t="shared" si="5"/>
        <v>3.1353135313531358E-2</v>
      </c>
      <c r="M11">
        <f t="shared" si="6"/>
        <v>-3.4624410069028739</v>
      </c>
      <c r="O11">
        <v>3</v>
      </c>
      <c r="P11">
        <v>3.5</v>
      </c>
      <c r="Q11">
        <f>(0.4*3.5)/1000</f>
        <v>1.4000000000000002E-3</v>
      </c>
      <c r="R11">
        <v>35</v>
      </c>
      <c r="S11">
        <v>0.5</v>
      </c>
      <c r="T11">
        <f>(0.4*0.5)/1000</f>
        <v>2.0000000000000001E-4</v>
      </c>
      <c r="U11">
        <v>5</v>
      </c>
      <c r="V11">
        <v>15</v>
      </c>
      <c r="W11">
        <v>1</v>
      </c>
      <c r="X11">
        <f>(0.04*1)/1000</f>
        <v>4.0000000000000003E-5</v>
      </c>
      <c r="Y11">
        <v>1</v>
      </c>
    </row>
    <row r="12" spans="1:25" x14ac:dyDescent="0.25">
      <c r="A12">
        <v>480</v>
      </c>
      <c r="B12">
        <v>0.19500000000000001</v>
      </c>
      <c r="C12">
        <f>B12/($I$28*1)</f>
        <v>6.4356435643564362E-3</v>
      </c>
      <c r="D12">
        <f t="shared" si="1"/>
        <v>-5.0459034329337138</v>
      </c>
      <c r="E12">
        <f>960-480</f>
        <v>480</v>
      </c>
      <c r="F12">
        <v>0.46300000000000002</v>
      </c>
      <c r="G12">
        <f t="shared" si="2"/>
        <v>1.5280528052805283E-2</v>
      </c>
      <c r="H12">
        <f t="shared" si="3"/>
        <v>-4.1811759374112265</v>
      </c>
      <c r="I12">
        <f t="shared" si="4"/>
        <v>65.442764578833689</v>
      </c>
      <c r="J12">
        <f>1410-930</f>
        <v>480</v>
      </c>
      <c r="K12">
        <v>0.76600000000000001</v>
      </c>
      <c r="L12">
        <f t="shared" si="5"/>
        <v>2.5280528052805284E-2</v>
      </c>
      <c r="M12">
        <f t="shared" si="6"/>
        <v>-3.6777208217568691</v>
      </c>
    </row>
    <row r="13" spans="1:25" x14ac:dyDescent="0.25">
      <c r="A13">
        <v>780</v>
      </c>
      <c r="B13">
        <v>0.11899999999999999</v>
      </c>
      <c r="C13">
        <f t="shared" si="0"/>
        <v>3.9273927392739277E-3</v>
      </c>
      <c r="D13">
        <f t="shared" si="1"/>
        <v>-5.539779498385931</v>
      </c>
      <c r="E13">
        <f>1260-480</f>
        <v>780</v>
      </c>
      <c r="F13">
        <v>0.26100000000000001</v>
      </c>
      <c r="G13">
        <f t="shared" si="2"/>
        <v>8.6138613861386146E-3</v>
      </c>
      <c r="H13">
        <f t="shared" si="3"/>
        <v>-4.7543825841747669</v>
      </c>
      <c r="I13">
        <f t="shared" si="4"/>
        <v>116.0919540229885</v>
      </c>
      <c r="J13">
        <f>1710-930</f>
        <v>780</v>
      </c>
      <c r="K13">
        <v>0.41</v>
      </c>
      <c r="L13">
        <f t="shared" si="5"/>
        <v>1.3531353135313532E-2</v>
      </c>
      <c r="M13">
        <f t="shared" si="6"/>
        <v>-4.3027458317991067</v>
      </c>
      <c r="P13" t="s">
        <v>11</v>
      </c>
    </row>
    <row r="14" spans="1:25" x14ac:dyDescent="0.25">
      <c r="A14">
        <v>1080</v>
      </c>
      <c r="B14">
        <v>6.9699999999999998E-2</v>
      </c>
      <c r="C14">
        <f t="shared" si="0"/>
        <v>2.3003300330033003E-3</v>
      </c>
      <c r="D14">
        <f t="shared" si="1"/>
        <v>-6.0747026737309824</v>
      </c>
      <c r="E14">
        <f>1560-480</f>
        <v>1080</v>
      </c>
      <c r="F14">
        <v>0.13700000000000001</v>
      </c>
      <c r="G14">
        <f t="shared" si="2"/>
        <v>4.5214521452145223E-3</v>
      </c>
      <c r="H14">
        <f t="shared" si="3"/>
        <v>-5.3989220656693355</v>
      </c>
      <c r="I14">
        <f t="shared" si="4"/>
        <v>221.1678832116788</v>
      </c>
      <c r="J14">
        <f>2040-930</f>
        <v>1110</v>
      </c>
      <c r="K14">
        <v>0.23680000000000001</v>
      </c>
      <c r="L14">
        <f t="shared" si="5"/>
        <v>7.8151815181518158E-3</v>
      </c>
      <c r="M14">
        <f t="shared" si="6"/>
        <v>-4.8516870884876102</v>
      </c>
      <c r="Q14" t="s">
        <v>13</v>
      </c>
      <c r="R14" s="4">
        <v>1.4618171296296296</v>
      </c>
    </row>
    <row r="15" spans="1:25" x14ac:dyDescent="0.25">
      <c r="A15">
        <v>1380</v>
      </c>
      <c r="B15">
        <v>3.8800000000000001E-2</v>
      </c>
      <c r="C15">
        <f t="shared" si="0"/>
        <v>1.2805280528052807E-3</v>
      </c>
      <c r="D15">
        <f t="shared" si="1"/>
        <v>-6.6604827448682329</v>
      </c>
      <c r="E15">
        <f>1860-480</f>
        <v>1380</v>
      </c>
      <c r="F15">
        <v>7.0199999999999999E-2</v>
      </c>
      <c r="G15">
        <f t="shared" si="2"/>
        <v>2.3168316831683172E-3</v>
      </c>
      <c r="H15">
        <f t="shared" si="3"/>
        <v>-6.0675546804656948</v>
      </c>
      <c r="I15">
        <f t="shared" si="4"/>
        <v>431.62393162393158</v>
      </c>
      <c r="J15">
        <f>2340-930</f>
        <v>1410</v>
      </c>
      <c r="K15">
        <v>0.21329999999999999</v>
      </c>
      <c r="L15">
        <f t="shared" si="5"/>
        <v>7.0396039603960398E-3</v>
      </c>
      <c r="M15">
        <f t="shared" si="6"/>
        <v>-4.9562033660201559</v>
      </c>
      <c r="Q15" t="s">
        <v>12</v>
      </c>
      <c r="R15" s="5">
        <v>0.62778935185185192</v>
      </c>
    </row>
    <row r="16" spans="1:25" x14ac:dyDescent="0.25">
      <c r="A16">
        <v>1680</v>
      </c>
      <c r="B16">
        <v>2.1000000000000001E-2</v>
      </c>
      <c r="C16">
        <f t="shared" si="0"/>
        <v>6.9306930693069314E-4</v>
      </c>
      <c r="D16">
        <f t="shared" si="1"/>
        <v>-7.2743805537740371</v>
      </c>
      <c r="E16">
        <f>2160-480</f>
        <v>1680</v>
      </c>
      <c r="F16">
        <v>3.56E-2</v>
      </c>
      <c r="G16">
        <f t="shared" si="2"/>
        <v>1.1749174917491749E-3</v>
      </c>
      <c r="H16">
        <f t="shared" si="3"/>
        <v>-6.7465573536394761</v>
      </c>
      <c r="I16">
        <f t="shared" si="4"/>
        <v>851.12359550561791</v>
      </c>
      <c r="J16">
        <f>2640-930</f>
        <v>1710</v>
      </c>
      <c r="K16">
        <v>0.21060000000000001</v>
      </c>
      <c r="L16">
        <f t="shared" si="5"/>
        <v>6.9504950495049515E-3</v>
      </c>
      <c r="M16">
        <f t="shared" si="6"/>
        <v>-4.9689423917975857</v>
      </c>
    </row>
    <row r="17" spans="1:17" x14ac:dyDescent="0.25">
      <c r="A17">
        <v>1980</v>
      </c>
      <c r="B17">
        <v>0.01</v>
      </c>
      <c r="C17">
        <f t="shared" si="0"/>
        <v>3.3003300330033009E-4</v>
      </c>
      <c r="D17">
        <f t="shared" si="1"/>
        <v>-8.0163178985034147</v>
      </c>
      <c r="E17">
        <f>2460-480</f>
        <v>1980</v>
      </c>
      <c r="F17">
        <v>1.7399999999999999E-2</v>
      </c>
      <c r="G17">
        <f t="shared" si="2"/>
        <v>5.7425742574257423E-4</v>
      </c>
      <c r="H17">
        <f t="shared" si="3"/>
        <v>-7.4624327852769774</v>
      </c>
      <c r="I17">
        <f t="shared" si="4"/>
        <v>1741.3793103448277</v>
      </c>
      <c r="J17">
        <f>2940-930</f>
        <v>2010</v>
      </c>
      <c r="K17">
        <v>0.20449999999999999</v>
      </c>
      <c r="L17">
        <f t="shared" si="5"/>
        <v>6.7491749174917494E-3</v>
      </c>
      <c r="M17">
        <f t="shared" si="6"/>
        <v>-4.9983350160146038</v>
      </c>
    </row>
    <row r="18" spans="1:17" x14ac:dyDescent="0.25">
      <c r="A18">
        <v>2280</v>
      </c>
      <c r="B18">
        <v>6.4999999999999997E-3</v>
      </c>
      <c r="C18">
        <f t="shared" si="0"/>
        <v>2.1452145214521454E-4</v>
      </c>
      <c r="D18">
        <f t="shared" si="1"/>
        <v>-8.4471008145958688</v>
      </c>
      <c r="E18">
        <f>2760-480</f>
        <v>2280</v>
      </c>
      <c r="F18">
        <v>0.01</v>
      </c>
      <c r="G18">
        <f t="shared" si="2"/>
        <v>3.3003300330033009E-4</v>
      </c>
      <c r="H18">
        <f t="shared" si="3"/>
        <v>-8.0163178985034147</v>
      </c>
      <c r="I18">
        <f t="shared" si="4"/>
        <v>3029.9999999999995</v>
      </c>
      <c r="J18">
        <f>3240-930</f>
        <v>2310</v>
      </c>
      <c r="K18">
        <v>0.16800000000000001</v>
      </c>
      <c r="L18">
        <f t="shared" si="5"/>
        <v>5.5445544554455451E-3</v>
      </c>
      <c r="M18">
        <f t="shared" si="6"/>
        <v>-5.1949390120942018</v>
      </c>
    </row>
    <row r="19" spans="1:17" x14ac:dyDescent="0.25">
      <c r="A19">
        <v>2580</v>
      </c>
      <c r="B19">
        <v>2.2000000000000001E-3</v>
      </c>
      <c r="C19">
        <f t="shared" si="0"/>
        <v>7.2607260726072613E-5</v>
      </c>
      <c r="D19">
        <f t="shared" si="1"/>
        <v>-9.5304456311331904</v>
      </c>
      <c r="E19">
        <f>3060-480</f>
        <v>2580</v>
      </c>
      <c r="F19">
        <v>6.7999999999999996E-3</v>
      </c>
      <c r="G19">
        <f t="shared" si="2"/>
        <v>2.2442244224422442E-4</v>
      </c>
      <c r="H19">
        <f t="shared" si="3"/>
        <v>-8.4019803793153987</v>
      </c>
      <c r="I19">
        <f t="shared" si="4"/>
        <v>4455.8823529411766</v>
      </c>
      <c r="J19">
        <f>3540-930</f>
        <v>2610</v>
      </c>
      <c r="K19">
        <v>0.16800000000000001</v>
      </c>
      <c r="L19">
        <f t="shared" si="5"/>
        <v>5.5445544554455451E-3</v>
      </c>
      <c r="M19">
        <f t="shared" si="6"/>
        <v>-5.1949390120942018</v>
      </c>
    </row>
    <row r="20" spans="1:17" x14ac:dyDescent="0.25">
      <c r="A20">
        <v>2880</v>
      </c>
      <c r="B20">
        <v>1E-3</v>
      </c>
      <c r="C20">
        <f t="shared" si="0"/>
        <v>3.3003300330033008E-5</v>
      </c>
      <c r="D20">
        <f t="shared" si="1"/>
        <v>-10.31890299149746</v>
      </c>
      <c r="E20">
        <f>3360-480</f>
        <v>2880</v>
      </c>
      <c r="F20">
        <v>5.4000000000000003E-3</v>
      </c>
      <c r="G20">
        <f t="shared" si="2"/>
        <v>1.7821782178217824E-4</v>
      </c>
      <c r="H20">
        <f t="shared" si="3"/>
        <v>-8.632504037927232</v>
      </c>
      <c r="I20">
        <f t="shared" si="4"/>
        <v>5611.1111111111104</v>
      </c>
      <c r="J20">
        <f>3840-930</f>
        <v>2910</v>
      </c>
      <c r="K20">
        <v>0.16700000000000001</v>
      </c>
      <c r="L20">
        <f t="shared" si="5"/>
        <v>5.5115511551155124E-3</v>
      </c>
      <c r="M20">
        <f t="shared" si="6"/>
        <v>-5.2009091790807052</v>
      </c>
    </row>
    <row r="21" spans="1:17" x14ac:dyDescent="0.25">
      <c r="A21">
        <v>3180</v>
      </c>
      <c r="B21">
        <v>-6.9999999999999999E-4</v>
      </c>
      <c r="C21">
        <f t="shared" si="0"/>
        <v>-2.3102310231023105E-5</v>
      </c>
      <c r="D21" s="3" t="s">
        <v>25</v>
      </c>
      <c r="E21">
        <f>3660-480</f>
        <v>3180</v>
      </c>
      <c r="F21">
        <v>4.4999999999999997E-3</v>
      </c>
      <c r="G21">
        <f t="shared" si="2"/>
        <v>1.4851485148514851E-4</v>
      </c>
      <c r="H21">
        <f t="shared" si="3"/>
        <v>-8.8148255947211869</v>
      </c>
      <c r="I21">
        <f t="shared" si="4"/>
        <v>6733.3333333333339</v>
      </c>
    </row>
    <row r="22" spans="1:17" x14ac:dyDescent="0.25">
      <c r="A22">
        <v>3480</v>
      </c>
      <c r="B22">
        <v>-3.5000000000000001E-3</v>
      </c>
      <c r="C22">
        <f t="shared" si="0"/>
        <v>-1.1551155115511552E-4</v>
      </c>
      <c r="D22" s="3" t="s">
        <v>25</v>
      </c>
      <c r="E22">
        <f>3960-480</f>
        <v>3480</v>
      </c>
      <c r="F22">
        <v>5.4000000000000003E-3</v>
      </c>
      <c r="G22">
        <f>F22/($I$28*1)</f>
        <v>1.7821782178217824E-4</v>
      </c>
      <c r="H22">
        <f t="shared" si="3"/>
        <v>-8.632504037927232</v>
      </c>
      <c r="I22">
        <f t="shared" si="4"/>
        <v>5611.1111111111104</v>
      </c>
    </row>
    <row r="23" spans="1:17" x14ac:dyDescent="0.25">
      <c r="A23">
        <v>3780</v>
      </c>
      <c r="B23">
        <v>-3.3E-3</v>
      </c>
      <c r="C23">
        <f t="shared" si="0"/>
        <v>-1.0891089108910893E-4</v>
      </c>
      <c r="D23" s="3" t="s">
        <v>25</v>
      </c>
    </row>
    <row r="25" spans="1:17" x14ac:dyDescent="0.25">
      <c r="M25" s="1" t="s">
        <v>16</v>
      </c>
      <c r="N25">
        <f>Q11/3</f>
        <v>4.6666666666666672E-4</v>
      </c>
      <c r="P25" t="s">
        <v>40</v>
      </c>
      <c r="Q25">
        <f>X11/3</f>
        <v>1.3333333333333335E-5</v>
      </c>
    </row>
    <row r="26" spans="1:17" x14ac:dyDescent="0.25">
      <c r="F26" t="s">
        <v>14</v>
      </c>
      <c r="I26" t="s">
        <v>15</v>
      </c>
      <c r="M26" s="1" t="s">
        <v>17</v>
      </c>
      <c r="N26">
        <f>0.01</f>
        <v>0.01</v>
      </c>
      <c r="P26" t="s">
        <v>41</v>
      </c>
    </row>
    <row r="28" spans="1:17" x14ac:dyDescent="0.25">
      <c r="H28" s="3" t="s">
        <v>20</v>
      </c>
      <c r="I28">
        <f>B9/(N26*1)</f>
        <v>30.299999999999997</v>
      </c>
      <c r="J28" t="s">
        <v>18</v>
      </c>
    </row>
    <row r="50" spans="14:20" x14ac:dyDescent="0.25">
      <c r="R50" s="6" t="s">
        <v>0</v>
      </c>
    </row>
    <row r="51" spans="14:20" x14ac:dyDescent="0.25">
      <c r="S51" s="7">
        <f t="array" ref="S51:T52">LINEST(M9:M20,J9:J20,1,1)</f>
        <v>-7.625468310651618E-4</v>
      </c>
      <c r="T51" s="8">
        <v>-3.4185266031180999</v>
      </c>
    </row>
    <row r="52" spans="14:20" x14ac:dyDescent="0.25">
      <c r="R52" t="s">
        <v>26</v>
      </c>
      <c r="S52" s="7">
        <v>1.0861545378893662E-4</v>
      </c>
      <c r="T52" s="8">
        <v>0.1769273730510747</v>
      </c>
    </row>
    <row r="53" spans="14:20" x14ac:dyDescent="0.25">
      <c r="S53" s="7"/>
      <c r="T53" s="8"/>
    </row>
    <row r="54" spans="14:20" x14ac:dyDescent="0.25">
      <c r="R54" s="6" t="s">
        <v>1</v>
      </c>
      <c r="S54" s="7"/>
      <c r="T54" s="8"/>
    </row>
    <row r="55" spans="14:20" x14ac:dyDescent="0.25">
      <c r="S55" s="7">
        <f t="array" ref="S55:T56">LINEST(H9:H22,E9:E22,1,1)</f>
        <v>-1.7234984378373774E-3</v>
      </c>
      <c r="T55" s="8">
        <v>-3.5539722815038655</v>
      </c>
    </row>
    <row r="56" spans="14:20" x14ac:dyDescent="0.25">
      <c r="R56" t="s">
        <v>26</v>
      </c>
      <c r="S56" s="7">
        <v>9.490618672557725E-5</v>
      </c>
      <c r="T56" s="8">
        <v>0.18505141957669183</v>
      </c>
    </row>
    <row r="57" spans="14:20" x14ac:dyDescent="0.25">
      <c r="S57" s="7"/>
      <c r="T57" s="8"/>
    </row>
    <row r="58" spans="14:20" x14ac:dyDescent="0.25">
      <c r="R58" s="6" t="s">
        <v>2</v>
      </c>
      <c r="S58" s="7"/>
      <c r="T58" s="8"/>
    </row>
    <row r="59" spans="14:20" x14ac:dyDescent="0.25">
      <c r="S59" s="7">
        <f t="array" ref="S59:T60">LINEST(D9:D20,A9:A20,1,1)</f>
        <v>-2.0338667090148842E-3</v>
      </c>
      <c r="T59" s="8">
        <v>-4.0744245821951601</v>
      </c>
    </row>
    <row r="60" spans="14:20" x14ac:dyDescent="0.25">
      <c r="R60" t="s">
        <v>26</v>
      </c>
      <c r="S60" s="7">
        <v>7.2601563223633563E-5</v>
      </c>
      <c r="T60" s="8">
        <v>0.11669670932818299</v>
      </c>
    </row>
    <row r="61" spans="14:20" x14ac:dyDescent="0.25">
      <c r="S61" s="7"/>
      <c r="T61" s="8"/>
    </row>
    <row r="62" spans="14:20" x14ac:dyDescent="0.25">
      <c r="O62" s="1" t="s">
        <v>33</v>
      </c>
      <c r="P62" s="9" t="s">
        <v>31</v>
      </c>
      <c r="S62" s="7" t="s">
        <v>32</v>
      </c>
      <c r="T62" s="8" t="s">
        <v>27</v>
      </c>
    </row>
    <row r="63" spans="14:20" x14ac:dyDescent="0.25">
      <c r="N63" s="1" t="s">
        <v>28</v>
      </c>
      <c r="O63">
        <v>8.0000000000000004E-4</v>
      </c>
      <c r="P63">
        <v>1.08E-4</v>
      </c>
    </row>
    <row r="64" spans="14:20" x14ac:dyDescent="0.25">
      <c r="N64" s="1" t="s">
        <v>29</v>
      </c>
      <c r="O64">
        <v>1.6999999999999999E-3</v>
      </c>
      <c r="P64">
        <v>9.4900000000000003E-5</v>
      </c>
    </row>
    <row r="65" spans="11:16" x14ac:dyDescent="0.25">
      <c r="N65" s="1" t="s">
        <v>30</v>
      </c>
      <c r="O65">
        <v>2E-3</v>
      </c>
      <c r="P65">
        <v>7.2600000000000003E-5</v>
      </c>
    </row>
    <row r="66" spans="11:16" x14ac:dyDescent="0.25">
      <c r="O66" t="s">
        <v>37</v>
      </c>
    </row>
    <row r="70" spans="11:16" x14ac:dyDescent="0.25">
      <c r="L70" t="s">
        <v>39</v>
      </c>
    </row>
    <row r="71" spans="11:16" x14ac:dyDescent="0.25">
      <c r="K71" t="s">
        <v>38</v>
      </c>
      <c r="L71">
        <f t="array" ref="L71:M72">LINEST(M9:M13,J9:J13,1,1)</f>
        <v>-1.7566190100082458E-3</v>
      </c>
      <c r="M71">
        <v>-2.8834270341215316</v>
      </c>
    </row>
    <row r="72" spans="11:16" x14ac:dyDescent="0.25">
      <c r="L72">
        <v>1.2927761509167103E-4</v>
      </c>
      <c r="M72">
        <v>5.8971001204061943E-2</v>
      </c>
    </row>
    <row r="83" spans="11:13" x14ac:dyDescent="0.25">
      <c r="L83" t="s">
        <v>39</v>
      </c>
    </row>
    <row r="84" spans="11:13" x14ac:dyDescent="0.25">
      <c r="K84" t="s">
        <v>38</v>
      </c>
      <c r="L84">
        <f t="array" ref="L84:M85">LINEST(H9:H21,E9:E21,1,1)</f>
        <v>-1.8630272761892442E-3</v>
      </c>
      <c r="M84">
        <v>-3.4205418431806502</v>
      </c>
    </row>
    <row r="85" spans="11:13" x14ac:dyDescent="0.25">
      <c r="L85">
        <v>6.7997347481231092E-5</v>
      </c>
      <c r="M85">
        <v>0.12092709263874943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2022-02-09T14:35:05Z</dcterms:modified>
</cp:coreProperties>
</file>