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E:\Studium\PC Praktikum\A32○\"/>
    </mc:Choice>
  </mc:AlternateContent>
  <xr:revisionPtr revIDLastSave="0" documentId="13_ncr:1_{8C6AA4B1-B6AA-4CE8-BCAB-67C495D26C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H20" i="1"/>
  <c r="H21" i="1"/>
  <c r="H22" i="1"/>
  <c r="H18" i="1"/>
  <c r="S46" i="1"/>
  <c r="T46" i="1" s="1"/>
  <c r="S45" i="1"/>
  <c r="T51" i="1"/>
  <c r="S51" i="1"/>
  <c r="S50" i="1"/>
  <c r="L19" i="1"/>
  <c r="M19" i="1" s="1"/>
  <c r="K18" i="1"/>
  <c r="G18" i="1"/>
  <c r="S22" i="1" l="1"/>
  <c r="U22" i="1"/>
  <c r="U21" i="1"/>
  <c r="U20" i="1"/>
  <c r="U19" i="1"/>
  <c r="U18" i="1"/>
  <c r="Q22" i="1"/>
  <c r="I19" i="1"/>
  <c r="I20" i="1"/>
  <c r="I21" i="1"/>
  <c r="I22" i="1"/>
  <c r="I1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F18" i="1"/>
  <c r="F19" i="1"/>
  <c r="E19" i="1" s="1"/>
  <c r="F20" i="1"/>
  <c r="E20" i="1" s="1"/>
  <c r="F21" i="1"/>
  <c r="E21" i="1" s="1"/>
  <c r="F22" i="1"/>
  <c r="E22" i="1" s="1"/>
  <c r="R19" i="1"/>
  <c r="Q19" i="1" s="1"/>
  <c r="R18" i="1"/>
  <c r="R20" i="1"/>
  <c r="S20" i="1" s="1"/>
  <c r="R21" i="1"/>
  <c r="Q21" i="1" s="1"/>
  <c r="Q18" i="1" l="1"/>
  <c r="S18" i="1"/>
  <c r="T20" i="1"/>
  <c r="W20" i="1"/>
  <c r="W22" i="1"/>
  <c r="T22" i="1"/>
  <c r="S21" i="1"/>
  <c r="E18" i="1"/>
  <c r="L18" i="1"/>
  <c r="S19" i="1"/>
  <c r="W18" i="1"/>
  <c r="G22" i="1"/>
  <c r="Q20" i="1"/>
  <c r="R29" i="1" a="1"/>
  <c r="G20" i="1"/>
  <c r="G19" i="1"/>
  <c r="G21" i="1"/>
  <c r="L25" i="1" l="1"/>
  <c r="M25" i="1" s="1"/>
  <c r="M18" i="1"/>
  <c r="W19" i="1"/>
  <c r="T19" i="1"/>
  <c r="W21" i="1"/>
  <c r="T21" i="1"/>
  <c r="S23" i="1"/>
  <c r="T23" i="1" s="1"/>
  <c r="S25" i="1"/>
  <c r="S26" i="1" s="1"/>
  <c r="T26" i="1" s="1"/>
  <c r="T18" i="1"/>
  <c r="K19" i="1"/>
  <c r="K21" i="1"/>
  <c r="L21" i="1"/>
  <c r="M21" i="1" s="1"/>
  <c r="K20" i="1"/>
  <c r="L20" i="1"/>
  <c r="M20" i="1" s="1"/>
  <c r="W23" i="1"/>
  <c r="W25" i="1"/>
  <c r="W26" i="1" s="1"/>
  <c r="W24" i="1"/>
  <c r="R29" i="1"/>
  <c r="S30" i="1"/>
  <c r="R30" i="1"/>
  <c r="S29" i="1"/>
  <c r="L22" i="1"/>
  <c r="M22" i="1" s="1"/>
  <c r="K22" i="1"/>
  <c r="L26" i="1" l="1"/>
  <c r="M26" i="1" s="1"/>
  <c r="L24" i="1"/>
  <c r="M24" i="1" s="1"/>
  <c r="L23" i="1"/>
  <c r="M23" i="1" s="1"/>
</calcChain>
</file>

<file path=xl/sharedStrings.xml><?xml version="1.0" encoding="utf-8"?>
<sst xmlns="http://schemas.openxmlformats.org/spreadsheetml/2006/main" count="58" uniqueCount="34">
  <si>
    <t>A32 Elektrische Leitfähigkeit von wässrigen Lösungen</t>
  </si>
  <si>
    <t>Kalibrierung</t>
  </si>
  <si>
    <t>0,1 mol/L</t>
  </si>
  <si>
    <t>σ [µs/cm]</t>
  </si>
  <si>
    <r>
      <t>K</t>
    </r>
    <r>
      <rPr>
        <sz val="11"/>
        <color theme="1"/>
        <rFont val="Calibri"/>
        <family val="2"/>
        <scheme val="minor"/>
      </rPr>
      <t xml:space="preserve"> [1/cm]</t>
    </r>
  </si>
  <si>
    <t>T [K]</t>
  </si>
  <si>
    <t>Rohrzuckerlösung</t>
  </si>
  <si>
    <t>VE-Wasser</t>
  </si>
  <si>
    <t>Essigsäure</t>
  </si>
  <si>
    <t>Konz.</t>
  </si>
  <si>
    <t>KCl</t>
  </si>
  <si>
    <t>σ [S/m]</t>
  </si>
  <si>
    <t>σ [µS/cm]</t>
  </si>
  <si>
    <t>Konduktometrische Titration</t>
  </si>
  <si>
    <t>V(NaOH) [mL]</t>
  </si>
  <si>
    <t>HCl</t>
  </si>
  <si>
    <t>Mittelwerte</t>
  </si>
  <si>
    <t>WURZEL(c)</t>
  </si>
  <si>
    <t>σ [S/dm]</t>
  </si>
  <si>
    <t>Λ0</t>
  </si>
  <si>
    <t>alpha</t>
  </si>
  <si>
    <t>Säurekonst.</t>
  </si>
  <si>
    <t>Fehler</t>
  </si>
  <si>
    <t>Standardabweichung</t>
  </si>
  <si>
    <t>±</t>
  </si>
  <si>
    <t>Fehler ±</t>
  </si>
  <si>
    <t>m</t>
  </si>
  <si>
    <t>b</t>
  </si>
  <si>
    <t>Apparaturkonst.</t>
  </si>
  <si>
    <t>Abweichung vom Lit.wert Lambda unendlioch</t>
  </si>
  <si>
    <t>Abw. Ks</t>
  </si>
  <si>
    <t>Λ [S*cm²/mol]</t>
  </si>
  <si>
    <t>Λ [S*m²/mol]</t>
  </si>
  <si>
    <t>Abbildung 1: Auftragung der molaren Leitfähigkeit gegen die Wurzel der Konzentrationen von Essigsäure (orange) und KCl (blau).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</si>
</sst>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3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9"/>
      <color rgb="FF44546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2" borderId="0" xfId="0" applyFill="1"/>
    <xf numFmtId="0" fontId="5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HCl-Titration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Tabelle1!$X$9:$X$39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xVal>
          <c:yVal>
            <c:numRef>
              <c:f>Tabelle1!$Y$9:$Y$39</c:f>
              <c:numCache>
                <c:formatCode>General</c:formatCode>
                <c:ptCount val="31"/>
                <c:pt idx="0">
                  <c:v>4250</c:v>
                </c:pt>
                <c:pt idx="1">
                  <c:v>4110</c:v>
                </c:pt>
                <c:pt idx="2">
                  <c:v>4020</c:v>
                </c:pt>
                <c:pt idx="3">
                  <c:v>3890</c:v>
                </c:pt>
                <c:pt idx="4">
                  <c:v>3560</c:v>
                </c:pt>
                <c:pt idx="5">
                  <c:v>3370</c:v>
                </c:pt>
                <c:pt idx="6">
                  <c:v>3180</c:v>
                </c:pt>
                <c:pt idx="7">
                  <c:v>3030</c:v>
                </c:pt>
                <c:pt idx="8">
                  <c:v>2825</c:v>
                </c:pt>
                <c:pt idx="9">
                  <c:v>2661</c:v>
                </c:pt>
                <c:pt idx="10">
                  <c:v>2574</c:v>
                </c:pt>
                <c:pt idx="11">
                  <c:v>2388</c:v>
                </c:pt>
                <c:pt idx="12">
                  <c:v>2223</c:v>
                </c:pt>
                <c:pt idx="13">
                  <c:v>2073</c:v>
                </c:pt>
                <c:pt idx="14">
                  <c:v>1929</c:v>
                </c:pt>
                <c:pt idx="15">
                  <c:v>1851</c:v>
                </c:pt>
                <c:pt idx="16">
                  <c:v>1670</c:v>
                </c:pt>
                <c:pt idx="17">
                  <c:v>1463</c:v>
                </c:pt>
                <c:pt idx="18">
                  <c:v>1330</c:v>
                </c:pt>
                <c:pt idx="19">
                  <c:v>1175</c:v>
                </c:pt>
                <c:pt idx="20">
                  <c:v>1054</c:v>
                </c:pt>
                <c:pt idx="21">
                  <c:v>1098</c:v>
                </c:pt>
                <c:pt idx="22">
                  <c:v>1187</c:v>
                </c:pt>
                <c:pt idx="23">
                  <c:v>1280</c:v>
                </c:pt>
                <c:pt idx="24">
                  <c:v>1380</c:v>
                </c:pt>
                <c:pt idx="25">
                  <c:v>1471</c:v>
                </c:pt>
                <c:pt idx="26">
                  <c:v>1554</c:v>
                </c:pt>
                <c:pt idx="27">
                  <c:v>1644</c:v>
                </c:pt>
                <c:pt idx="28">
                  <c:v>1730</c:v>
                </c:pt>
                <c:pt idx="29">
                  <c:v>1823</c:v>
                </c:pt>
                <c:pt idx="30">
                  <c:v>1910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2F-495F-A44E-11FB774A7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034655"/>
        <c:axId val="1886035071"/>
      </c:scatterChart>
      <c:valAx>
        <c:axId val="18860346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baseline="0">
                    <a:effectLst/>
                  </a:rPr>
                  <a:t>V(NaOH) [ml]</a:t>
                </a:r>
                <a:endParaRPr lang="de-DE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86035071"/>
        <c:crosses val="autoZero"/>
        <c:crossBetween val="midCat"/>
      </c:valAx>
      <c:valAx>
        <c:axId val="188603507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baseline="0">
                    <a:effectLst/>
                  </a:rPr>
                  <a:t>Spezifische Leitfähigkeit  </a:t>
                </a:r>
                <a:r>
                  <a:rPr lang="el-GR" sz="1000" b="0" i="0" baseline="0">
                    <a:effectLst/>
                  </a:rPr>
                  <a:t>σ [</a:t>
                </a:r>
                <a:r>
                  <a:rPr lang="de-DE" sz="1000" b="0" i="0" baseline="0">
                    <a:effectLst/>
                  </a:rPr>
                  <a:t>µS/cm]</a:t>
                </a:r>
                <a:endParaRPr lang="de-DE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860346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Essigsäure Titration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358251312335958"/>
          <c:y val="0.15782407407407409"/>
          <c:w val="0.81687520505249345"/>
          <c:h val="0.67922098279381737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Tabelle1!$X$9:$X$39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xVal>
          <c:yVal>
            <c:numRef>
              <c:f>Tabelle1!$AB$9:$AB$39</c:f>
              <c:numCache>
                <c:formatCode>General</c:formatCode>
                <c:ptCount val="31"/>
                <c:pt idx="0">
                  <c:v>143.80000000000001</c:v>
                </c:pt>
                <c:pt idx="1">
                  <c:v>119</c:v>
                </c:pt>
                <c:pt idx="2">
                  <c:v>127.7</c:v>
                </c:pt>
                <c:pt idx="3">
                  <c:v>150.1</c:v>
                </c:pt>
                <c:pt idx="4">
                  <c:v>177.3</c:v>
                </c:pt>
                <c:pt idx="5">
                  <c:v>207.8</c:v>
                </c:pt>
                <c:pt idx="6">
                  <c:v>235.8</c:v>
                </c:pt>
                <c:pt idx="7">
                  <c:v>270</c:v>
                </c:pt>
                <c:pt idx="8">
                  <c:v>297.7</c:v>
                </c:pt>
                <c:pt idx="9">
                  <c:v>327</c:v>
                </c:pt>
                <c:pt idx="10">
                  <c:v>360</c:v>
                </c:pt>
                <c:pt idx="11">
                  <c:v>388</c:v>
                </c:pt>
                <c:pt idx="12">
                  <c:v>415</c:v>
                </c:pt>
                <c:pt idx="13">
                  <c:v>445</c:v>
                </c:pt>
                <c:pt idx="14">
                  <c:v>474</c:v>
                </c:pt>
                <c:pt idx="15">
                  <c:v>505</c:v>
                </c:pt>
                <c:pt idx="16">
                  <c:v>536</c:v>
                </c:pt>
                <c:pt idx="17">
                  <c:v>560</c:v>
                </c:pt>
                <c:pt idx="18">
                  <c:v>590</c:v>
                </c:pt>
                <c:pt idx="19">
                  <c:v>618</c:v>
                </c:pt>
                <c:pt idx="20">
                  <c:v>650</c:v>
                </c:pt>
                <c:pt idx="21">
                  <c:v>715</c:v>
                </c:pt>
                <c:pt idx="22">
                  <c:v>809</c:v>
                </c:pt>
                <c:pt idx="23">
                  <c:v>875</c:v>
                </c:pt>
                <c:pt idx="24">
                  <c:v>969</c:v>
                </c:pt>
                <c:pt idx="25">
                  <c:v>1048</c:v>
                </c:pt>
                <c:pt idx="26">
                  <c:v>1130</c:v>
                </c:pt>
                <c:pt idx="27">
                  <c:v>1216</c:v>
                </c:pt>
                <c:pt idx="28">
                  <c:v>1289</c:v>
                </c:pt>
                <c:pt idx="29">
                  <c:v>1388</c:v>
                </c:pt>
                <c:pt idx="30">
                  <c:v>1459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BD-4D2A-BD59-0969566CB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7296799"/>
        <c:axId val="1887297215"/>
      </c:scatterChart>
      <c:valAx>
        <c:axId val="18872967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V(NaOH) [ml]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87297215"/>
        <c:crosses val="autoZero"/>
        <c:crossBetween val="midCat"/>
      </c:valAx>
      <c:valAx>
        <c:axId val="188729721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Spezifische Leitfähigkeit  </a:t>
                </a:r>
                <a:r>
                  <a:rPr lang="el-GR"/>
                  <a:t>σ [</a:t>
                </a:r>
                <a:r>
                  <a:rPr lang="de-DE"/>
                  <a:t>µS/cm]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872967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21981627296588"/>
          <c:y val="7.407407407407407E-2"/>
          <c:w val="0.78499540682414704"/>
          <c:h val="0.7435032079323418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7.1202974628171477E-3"/>
                  <c:y val="6.717446777486148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Tabelle1!$U$18:$U$22</c:f>
              <c:numCache>
                <c:formatCode>General</c:formatCode>
                <c:ptCount val="5"/>
                <c:pt idx="0">
                  <c:v>2.5298221281347035E-2</c:v>
                </c:pt>
                <c:pt idx="1">
                  <c:v>5.6568542494923803E-2</c:v>
                </c:pt>
                <c:pt idx="2">
                  <c:v>0.12649110640673517</c:v>
                </c:pt>
                <c:pt idx="3">
                  <c:v>0.28284271247461901</c:v>
                </c:pt>
                <c:pt idx="4">
                  <c:v>0.63245553203367588</c:v>
                </c:pt>
              </c:numCache>
            </c:numRef>
          </c:xVal>
          <c:yVal>
            <c:numRef>
              <c:f>Tabelle1!$T$18:$T$22</c:f>
              <c:numCache>
                <c:formatCode>General</c:formatCode>
                <c:ptCount val="5"/>
                <c:pt idx="0">
                  <c:v>111.25</c:v>
                </c:pt>
                <c:pt idx="1">
                  <c:v>106.875</c:v>
                </c:pt>
                <c:pt idx="2">
                  <c:v>100.6875</c:v>
                </c:pt>
                <c:pt idx="3">
                  <c:v>119.375</c:v>
                </c:pt>
                <c:pt idx="4">
                  <c:v>103.25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7A-4EE0-8760-3F406E7C17DB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Tabelle1!$I$18:$I$22</c:f>
              <c:numCache>
                <c:formatCode>General</c:formatCode>
                <c:ptCount val="5"/>
                <c:pt idx="0">
                  <c:v>2.8284271247461901E-2</c:v>
                </c:pt>
                <c:pt idx="1">
                  <c:v>6.3245553203367583E-2</c:v>
                </c:pt>
                <c:pt idx="2">
                  <c:v>0.1414213562373095</c:v>
                </c:pt>
                <c:pt idx="3">
                  <c:v>0.31622776601683794</c:v>
                </c:pt>
                <c:pt idx="4">
                  <c:v>0.70710678118654757</c:v>
                </c:pt>
              </c:numCache>
            </c:numRef>
          </c:xVal>
          <c:yVal>
            <c:numRef>
              <c:f>Tabelle1!$H$18:$H$22</c:f>
              <c:numCache>
                <c:formatCode>General</c:formatCode>
                <c:ptCount val="5"/>
                <c:pt idx="0">
                  <c:v>51.374999999999993</c:v>
                </c:pt>
                <c:pt idx="1">
                  <c:v>23.324999999999999</c:v>
                </c:pt>
                <c:pt idx="2">
                  <c:v>10.715000000000002</c:v>
                </c:pt>
                <c:pt idx="3">
                  <c:v>4.63</c:v>
                </c:pt>
                <c:pt idx="4">
                  <c:v>2.008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7A-4EE0-8760-3F406E7C1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424063"/>
        <c:axId val="1886424479"/>
      </c:scatterChart>
      <c:valAx>
        <c:axId val="18864240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√</a:t>
                </a:r>
                <a:r>
                  <a:rPr lang="de-DE" i="1"/>
                  <a:t>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86424479"/>
        <c:crosses val="autoZero"/>
        <c:crossBetween val="midCat"/>
      </c:valAx>
      <c:valAx>
        <c:axId val="188642447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900" b="0" i="0" baseline="0">
                    <a:effectLst/>
                  </a:rPr>
                  <a:t>Molare Leitfähigkeit  </a:t>
                </a:r>
                <a:r>
                  <a:rPr lang="el-GR" sz="900" b="0" i="0" baseline="0">
                    <a:effectLst/>
                  </a:rPr>
                  <a:t>Λ</a:t>
                </a:r>
                <a:r>
                  <a:rPr lang="de-DE" sz="900" b="0" i="0" baseline="0">
                    <a:effectLst/>
                  </a:rPr>
                  <a:t>  [S·cm</a:t>
                </a:r>
                <a:r>
                  <a:rPr lang="de-DE" sz="900" b="0" i="0" baseline="30000">
                    <a:effectLst/>
                  </a:rPr>
                  <a:t>2</a:t>
                </a:r>
                <a:r>
                  <a:rPr lang="de-DE" sz="900" b="0" i="0" baseline="0">
                    <a:effectLst/>
                  </a:rPr>
                  <a:t>·mol</a:t>
                </a:r>
                <a:r>
                  <a:rPr lang="de-DE" sz="900" b="0" i="0" baseline="30000">
                    <a:effectLst/>
                  </a:rPr>
                  <a:t>-1</a:t>
                </a:r>
                <a:r>
                  <a:rPr lang="de-DE" sz="900" b="0" i="0" baseline="0">
                    <a:effectLst/>
                  </a:rPr>
                  <a:t>]</a:t>
                </a:r>
                <a:endParaRPr lang="de-DE" sz="9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de-DE"/>
              </a:p>
            </c:rich>
          </c:tx>
          <c:layout>
            <c:manualLayout>
              <c:xMode val="edge"/>
              <c:yMode val="edge"/>
              <c:x val="2.5000000000000001E-2"/>
              <c:y val="0.14038568095654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86424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30</xdr:row>
      <xdr:rowOff>176212</xdr:rowOff>
    </xdr:from>
    <xdr:to>
      <xdr:col>8</xdr:col>
      <xdr:colOff>0</xdr:colOff>
      <xdr:row>45</xdr:row>
      <xdr:rowOff>61912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0BD26A5-5950-4001-889A-46A38BF144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457201</xdr:colOff>
      <xdr:row>31</xdr:row>
      <xdr:rowOff>138112</xdr:rowOff>
    </xdr:from>
    <xdr:to>
      <xdr:col>16</xdr:col>
      <xdr:colOff>209551</xdr:colOff>
      <xdr:row>46</xdr:row>
      <xdr:rowOff>23812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B934725C-255C-4C26-BF40-05211341B6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590550</xdr:colOff>
      <xdr:row>47</xdr:row>
      <xdr:rowOff>23812</xdr:rowOff>
    </xdr:from>
    <xdr:to>
      <xdr:col>16</xdr:col>
      <xdr:colOff>38100</xdr:colOff>
      <xdr:row>61</xdr:row>
      <xdr:rowOff>100012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B7A269C-F132-448A-8D00-CD0D81A02D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AC56"/>
  <sheetViews>
    <sheetView tabSelected="1" topLeftCell="A13" zoomScaleNormal="100" workbookViewId="0">
      <selection activeCell="E56" sqref="E56"/>
    </sheetView>
  </sheetViews>
  <sheetFormatPr baseColWidth="10" defaultColWidth="9.140625" defaultRowHeight="15" x14ac:dyDescent="0.25"/>
  <cols>
    <col min="2" max="2" width="12.140625" customWidth="1"/>
    <col min="6" max="6" width="13.140625" customWidth="1"/>
    <col min="7" max="7" width="12.85546875" customWidth="1"/>
    <col min="8" max="8" width="14" customWidth="1"/>
    <col min="10" max="10" width="10.7109375" customWidth="1"/>
    <col min="11" max="11" width="11.28515625" customWidth="1"/>
    <col min="18" max="18" width="12.85546875" customWidth="1"/>
    <col min="19" max="19" width="14.85546875" customWidth="1"/>
    <col min="20" max="20" width="13.85546875" customWidth="1"/>
  </cols>
  <sheetData>
    <row r="4" spans="3:29" ht="45.75" x14ac:dyDescent="0.7">
      <c r="C4" s="1" t="s">
        <v>0</v>
      </c>
    </row>
    <row r="5" spans="3:29" x14ac:dyDescent="0.25">
      <c r="X5" s="3" t="s">
        <v>13</v>
      </c>
    </row>
    <row r="7" spans="3:29" x14ac:dyDescent="0.25">
      <c r="X7" s="3"/>
      <c r="Y7" s="3" t="s">
        <v>15</v>
      </c>
      <c r="Z7" s="3" t="s">
        <v>15</v>
      </c>
      <c r="AA7" s="3"/>
      <c r="AB7" s="3" t="s">
        <v>8</v>
      </c>
      <c r="AC7" s="3" t="s">
        <v>8</v>
      </c>
    </row>
    <row r="8" spans="3:29" x14ac:dyDescent="0.25">
      <c r="G8" s="3" t="s">
        <v>10</v>
      </c>
      <c r="X8" s="3" t="s">
        <v>14</v>
      </c>
      <c r="Y8" s="3" t="s">
        <v>12</v>
      </c>
      <c r="Z8" s="3" t="s">
        <v>11</v>
      </c>
      <c r="AA8" s="3"/>
      <c r="AB8" s="3" t="s">
        <v>12</v>
      </c>
      <c r="AC8" s="3" t="s">
        <v>11</v>
      </c>
    </row>
    <row r="9" spans="3:29" x14ac:dyDescent="0.25">
      <c r="F9" s="3" t="s">
        <v>1</v>
      </c>
      <c r="G9" s="3" t="s">
        <v>2</v>
      </c>
      <c r="H9" s="3" t="s">
        <v>28</v>
      </c>
      <c r="X9">
        <v>0</v>
      </c>
      <c r="Y9">
        <v>4250</v>
      </c>
      <c r="Z9">
        <f t="shared" ref="Z9:Z37" si="0">Y9/10000</f>
        <v>0.42499999999999999</v>
      </c>
      <c r="AB9">
        <v>143.80000000000001</v>
      </c>
      <c r="AC9">
        <f t="shared" ref="AC9:AC37" si="1">AB9/10000</f>
        <v>1.438E-2</v>
      </c>
    </row>
    <row r="10" spans="3:29" x14ac:dyDescent="0.25">
      <c r="F10" t="s">
        <v>5</v>
      </c>
      <c r="G10" t="s">
        <v>12</v>
      </c>
      <c r="H10" s="2" t="s">
        <v>4</v>
      </c>
      <c r="X10">
        <v>1</v>
      </c>
      <c r="Y10">
        <v>4110</v>
      </c>
      <c r="Z10">
        <f t="shared" si="0"/>
        <v>0.41099999999999998</v>
      </c>
      <c r="AB10">
        <v>119</v>
      </c>
      <c r="AC10">
        <f t="shared" si="1"/>
        <v>1.1900000000000001E-2</v>
      </c>
    </row>
    <row r="11" spans="3:29" x14ac:dyDescent="0.25">
      <c r="F11">
        <v>291.14999999999998</v>
      </c>
      <c r="G11">
        <v>11.19</v>
      </c>
      <c r="H11">
        <v>2.58</v>
      </c>
      <c r="X11">
        <v>2</v>
      </c>
      <c r="Y11">
        <v>4020</v>
      </c>
      <c r="Z11">
        <f t="shared" si="0"/>
        <v>0.40200000000000002</v>
      </c>
      <c r="AB11">
        <v>127.7</v>
      </c>
      <c r="AC11">
        <f t="shared" si="1"/>
        <v>1.277E-2</v>
      </c>
    </row>
    <row r="12" spans="3:29" x14ac:dyDescent="0.25">
      <c r="X12">
        <v>3</v>
      </c>
      <c r="Y12">
        <v>3890</v>
      </c>
      <c r="Z12">
        <f t="shared" si="0"/>
        <v>0.38900000000000001</v>
      </c>
      <c r="AB12">
        <v>150.1</v>
      </c>
      <c r="AC12">
        <f t="shared" si="1"/>
        <v>1.5009999999999999E-2</v>
      </c>
    </row>
    <row r="13" spans="3:29" x14ac:dyDescent="0.25">
      <c r="F13" s="3" t="s">
        <v>6</v>
      </c>
      <c r="G13" s="3"/>
      <c r="H13" s="3" t="s">
        <v>2</v>
      </c>
      <c r="I13" s="3"/>
      <c r="J13" s="3" t="s">
        <v>7</v>
      </c>
      <c r="X13">
        <v>4</v>
      </c>
      <c r="Y13">
        <v>3560</v>
      </c>
      <c r="Z13">
        <f t="shared" si="0"/>
        <v>0.35599999999999998</v>
      </c>
      <c r="AB13">
        <v>177.3</v>
      </c>
      <c r="AC13">
        <f t="shared" si="1"/>
        <v>1.7730000000000003E-2</v>
      </c>
    </row>
    <row r="14" spans="3:29" x14ac:dyDescent="0.25">
      <c r="F14" t="s">
        <v>3</v>
      </c>
      <c r="G14">
        <v>1.52</v>
      </c>
      <c r="I14" t="s">
        <v>12</v>
      </c>
      <c r="J14">
        <v>2.58</v>
      </c>
      <c r="X14">
        <v>5</v>
      </c>
      <c r="Y14">
        <v>3370</v>
      </c>
      <c r="Z14">
        <f t="shared" si="0"/>
        <v>0.33700000000000002</v>
      </c>
      <c r="AB14">
        <v>207.8</v>
      </c>
      <c r="AC14">
        <f t="shared" si="1"/>
        <v>2.078E-2</v>
      </c>
    </row>
    <row r="15" spans="3:29" x14ac:dyDescent="0.25">
      <c r="X15">
        <v>6</v>
      </c>
      <c r="Y15">
        <v>3180</v>
      </c>
      <c r="Z15">
        <f t="shared" si="0"/>
        <v>0.318</v>
      </c>
      <c r="AB15">
        <v>235.8</v>
      </c>
      <c r="AC15">
        <f t="shared" si="1"/>
        <v>2.358E-2</v>
      </c>
    </row>
    <row r="16" spans="3:29" x14ac:dyDescent="0.25">
      <c r="X16">
        <v>7</v>
      </c>
      <c r="Y16">
        <v>3030</v>
      </c>
      <c r="Z16">
        <f t="shared" si="0"/>
        <v>0.30299999999999999</v>
      </c>
      <c r="AB16">
        <v>270</v>
      </c>
      <c r="AC16">
        <f t="shared" si="1"/>
        <v>2.7E-2</v>
      </c>
    </row>
    <row r="17" spans="2:29" x14ac:dyDescent="0.25">
      <c r="B17" s="3" t="s">
        <v>8</v>
      </c>
      <c r="C17" s="3" t="s">
        <v>9</v>
      </c>
      <c r="D17" s="3" t="s">
        <v>12</v>
      </c>
      <c r="E17" s="3" t="s">
        <v>18</v>
      </c>
      <c r="F17" s="3" t="s">
        <v>11</v>
      </c>
      <c r="G17" s="3" t="s">
        <v>32</v>
      </c>
      <c r="H17" s="3" t="s">
        <v>31</v>
      </c>
      <c r="I17" s="3" t="s">
        <v>17</v>
      </c>
      <c r="J17" s="3" t="s">
        <v>19</v>
      </c>
      <c r="K17" s="3" t="s">
        <v>20</v>
      </c>
      <c r="L17" s="3" t="s">
        <v>21</v>
      </c>
      <c r="N17" s="3" t="s">
        <v>10</v>
      </c>
      <c r="O17" s="3" t="s">
        <v>9</v>
      </c>
      <c r="P17" s="3" t="s">
        <v>12</v>
      </c>
      <c r="Q17" s="3" t="s">
        <v>18</v>
      </c>
      <c r="R17" s="3" t="s">
        <v>11</v>
      </c>
      <c r="S17" s="3" t="s">
        <v>32</v>
      </c>
      <c r="T17" s="3" t="s">
        <v>31</v>
      </c>
      <c r="U17" s="3" t="s">
        <v>17</v>
      </c>
      <c r="V17" s="3" t="s">
        <v>19</v>
      </c>
      <c r="W17" s="3" t="s">
        <v>20</v>
      </c>
      <c r="X17">
        <v>8</v>
      </c>
      <c r="Y17">
        <v>2825</v>
      </c>
      <c r="Z17">
        <f t="shared" si="0"/>
        <v>0.28249999999999997</v>
      </c>
      <c r="AB17">
        <v>297.7</v>
      </c>
      <c r="AC17">
        <f t="shared" si="1"/>
        <v>2.9769999999999998E-2</v>
      </c>
    </row>
    <row r="18" spans="2:29" x14ac:dyDescent="0.25">
      <c r="B18">
        <v>1</v>
      </c>
      <c r="C18">
        <v>8.0000000000000004E-4</v>
      </c>
      <c r="D18">
        <v>41.1</v>
      </c>
      <c r="E18">
        <f>F18/10</f>
        <v>4.1100000000000002E-4</v>
      </c>
      <c r="F18">
        <f>D18/10000</f>
        <v>4.1099999999999999E-3</v>
      </c>
      <c r="G18">
        <f>F18/C18</f>
        <v>5.1374999999999993</v>
      </c>
      <c r="H18">
        <f>G18*10</f>
        <v>51.374999999999993</v>
      </c>
      <c r="I18">
        <f>SQRT(C18)</f>
        <v>2.8284271247461901E-2</v>
      </c>
      <c r="J18">
        <v>39.07</v>
      </c>
      <c r="K18">
        <f>G18/J18</f>
        <v>0.13149475300742255</v>
      </c>
      <c r="L18">
        <f>(G18^2*C18)/((J18-G18)*J18)</f>
        <v>1.5927014952052063E-5</v>
      </c>
      <c r="M18">
        <f>L18*1000</f>
        <v>1.5927014952052062E-2</v>
      </c>
      <c r="N18">
        <v>1</v>
      </c>
      <c r="O18">
        <v>6.4000000000000005E-4</v>
      </c>
      <c r="P18">
        <v>71.2</v>
      </c>
      <c r="Q18">
        <f>R18/10</f>
        <v>7.1200000000000007E-4</v>
      </c>
      <c r="R18">
        <f>P18/10000</f>
        <v>7.1200000000000005E-3</v>
      </c>
      <c r="S18">
        <f>R18/O18</f>
        <v>11.125</v>
      </c>
      <c r="T18">
        <f>S18*10</f>
        <v>111.25</v>
      </c>
      <c r="U18">
        <f>SQRT(O18)</f>
        <v>2.5298221281347035E-2</v>
      </c>
      <c r="V18">
        <v>10.920999999999999</v>
      </c>
      <c r="W18">
        <f>S18/V18</f>
        <v>1.0186796080944969</v>
      </c>
      <c r="X18">
        <v>9</v>
      </c>
      <c r="Y18">
        <v>2661</v>
      </c>
      <c r="Z18">
        <f t="shared" si="0"/>
        <v>0.2661</v>
      </c>
      <c r="AB18">
        <v>327</v>
      </c>
      <c r="AC18">
        <f t="shared" si="1"/>
        <v>3.27E-2</v>
      </c>
    </row>
    <row r="19" spans="2:29" x14ac:dyDescent="0.25">
      <c r="B19">
        <v>2</v>
      </c>
      <c r="C19">
        <v>4.0000000000000001E-3</v>
      </c>
      <c r="D19">
        <v>93.3</v>
      </c>
      <c r="E19">
        <f t="shared" ref="E19:E22" si="2">F19/10</f>
        <v>9.3300000000000002E-4</v>
      </c>
      <c r="F19">
        <f>D19/10000</f>
        <v>9.3299999999999998E-3</v>
      </c>
      <c r="G19">
        <f t="shared" ref="G19:G22" si="3">F19/C19</f>
        <v>2.3325</v>
      </c>
      <c r="H19">
        <f t="shared" ref="H19:H22" si="4">G19*10</f>
        <v>23.324999999999999</v>
      </c>
      <c r="I19">
        <f>SQRT(C19)</f>
        <v>6.3245553203367583E-2</v>
      </c>
      <c r="J19">
        <v>39.07</v>
      </c>
      <c r="K19">
        <f>G19/J19</f>
        <v>5.9700537496800613E-2</v>
      </c>
      <c r="L19">
        <f>(G19^2*C19)/((J19-G19)*J19)</f>
        <v>1.5161783323447425E-5</v>
      </c>
      <c r="M19">
        <f t="shared" ref="M19:M26" si="5">L19*1000</f>
        <v>1.5161783323447425E-2</v>
      </c>
      <c r="N19">
        <v>2</v>
      </c>
      <c r="O19">
        <v>3.2000000000000002E-3</v>
      </c>
      <c r="P19">
        <v>342</v>
      </c>
      <c r="Q19">
        <f t="shared" ref="Q19:Q22" si="6">R19/10</f>
        <v>3.4200000000000003E-3</v>
      </c>
      <c r="R19">
        <f>P19/10000</f>
        <v>3.4200000000000001E-2</v>
      </c>
      <c r="S19">
        <f t="shared" ref="S19:S22" si="7">R19/O19</f>
        <v>10.6875</v>
      </c>
      <c r="T19">
        <f t="shared" ref="T19:T22" si="8">S19*10</f>
        <v>106.875</v>
      </c>
      <c r="U19">
        <f>SQRT(O19)</f>
        <v>5.6568542494923803E-2</v>
      </c>
      <c r="V19">
        <v>10.920999999999999</v>
      </c>
      <c r="W19">
        <f>S19/V19</f>
        <v>0.97861917406830878</v>
      </c>
      <c r="X19">
        <v>10</v>
      </c>
      <c r="Y19">
        <v>2574</v>
      </c>
      <c r="Z19">
        <f t="shared" si="0"/>
        <v>0.25740000000000002</v>
      </c>
      <c r="AB19">
        <v>360</v>
      </c>
      <c r="AC19">
        <f t="shared" si="1"/>
        <v>3.5999999999999997E-2</v>
      </c>
    </row>
    <row r="20" spans="2:29" x14ac:dyDescent="0.25">
      <c r="B20">
        <v>3</v>
      </c>
      <c r="C20">
        <v>0.02</v>
      </c>
      <c r="D20">
        <v>214.3</v>
      </c>
      <c r="E20">
        <f t="shared" si="2"/>
        <v>2.1429999999999999E-3</v>
      </c>
      <c r="F20">
        <f>D20/10000</f>
        <v>2.1430000000000001E-2</v>
      </c>
      <c r="G20">
        <f t="shared" si="3"/>
        <v>1.0715000000000001</v>
      </c>
      <c r="H20">
        <f t="shared" si="4"/>
        <v>10.715000000000002</v>
      </c>
      <c r="I20">
        <f>SQRT(C20)</f>
        <v>0.1414213562373095</v>
      </c>
      <c r="J20">
        <v>39.07</v>
      </c>
      <c r="K20">
        <f>G20/J20</f>
        <v>2.7425134374200157E-2</v>
      </c>
      <c r="L20">
        <f>(G20^2*C20)/((J20-G20)*J20)</f>
        <v>1.5466942896143519E-5</v>
      </c>
      <c r="M20">
        <f t="shared" si="5"/>
        <v>1.5466942896143518E-2</v>
      </c>
      <c r="N20">
        <v>3</v>
      </c>
      <c r="O20">
        <v>1.6E-2</v>
      </c>
      <c r="P20">
        <v>1611</v>
      </c>
      <c r="Q20">
        <f t="shared" si="6"/>
        <v>1.6109999999999999E-2</v>
      </c>
      <c r="R20">
        <f>P20/10000</f>
        <v>0.16109999999999999</v>
      </c>
      <c r="S20">
        <f>R20/O20</f>
        <v>10.06875</v>
      </c>
      <c r="T20">
        <f t="shared" si="8"/>
        <v>100.6875</v>
      </c>
      <c r="U20">
        <f>SQRT(O20)</f>
        <v>0.12649110640673517</v>
      </c>
      <c r="V20">
        <v>10.920999999999999</v>
      </c>
      <c r="W20">
        <f>S20/V20</f>
        <v>0.92196227451698565</v>
      </c>
      <c r="X20">
        <v>11</v>
      </c>
      <c r="Y20">
        <v>2388</v>
      </c>
      <c r="Z20">
        <f t="shared" si="0"/>
        <v>0.23880000000000001</v>
      </c>
      <c r="AB20">
        <v>388</v>
      </c>
      <c r="AC20">
        <f t="shared" si="1"/>
        <v>3.8800000000000001E-2</v>
      </c>
    </row>
    <row r="21" spans="2:29" x14ac:dyDescent="0.25">
      <c r="B21">
        <v>4</v>
      </c>
      <c r="C21">
        <v>0.1</v>
      </c>
      <c r="D21">
        <v>463</v>
      </c>
      <c r="E21">
        <f t="shared" si="2"/>
        <v>4.6300000000000004E-3</v>
      </c>
      <c r="F21">
        <f>D21/10000</f>
        <v>4.6300000000000001E-2</v>
      </c>
      <c r="G21">
        <f t="shared" si="3"/>
        <v>0.46299999999999997</v>
      </c>
      <c r="H21">
        <f t="shared" si="4"/>
        <v>4.63</v>
      </c>
      <c r="I21">
        <f>SQRT(C21)</f>
        <v>0.31622776601683794</v>
      </c>
      <c r="J21">
        <v>39.07</v>
      </c>
      <c r="K21">
        <f>G21/J21</f>
        <v>1.1850524699257741E-2</v>
      </c>
      <c r="L21">
        <f>(G21^2*C21)/((J21-G21)*J21)</f>
        <v>1.421191218109756E-5</v>
      </c>
      <c r="M21">
        <f t="shared" si="5"/>
        <v>1.4211912181097561E-2</v>
      </c>
      <c r="N21">
        <v>4</v>
      </c>
      <c r="O21">
        <v>0.08</v>
      </c>
      <c r="P21">
        <v>9550</v>
      </c>
      <c r="Q21">
        <f t="shared" si="6"/>
        <v>9.5500000000000002E-2</v>
      </c>
      <c r="R21">
        <f>P21/10000</f>
        <v>0.95499999999999996</v>
      </c>
      <c r="S21">
        <f t="shared" si="7"/>
        <v>11.9375</v>
      </c>
      <c r="T21">
        <f t="shared" si="8"/>
        <v>119.375</v>
      </c>
      <c r="U21">
        <f>SQRT(O21)</f>
        <v>0.28284271247461901</v>
      </c>
      <c r="V21">
        <v>10.920999999999999</v>
      </c>
      <c r="W21">
        <f>S21/V21</f>
        <v>1.0930775570002749</v>
      </c>
      <c r="X21">
        <v>12</v>
      </c>
      <c r="Y21">
        <v>2223</v>
      </c>
      <c r="Z21">
        <f t="shared" si="0"/>
        <v>0.2223</v>
      </c>
      <c r="AB21">
        <v>415</v>
      </c>
      <c r="AC21">
        <f t="shared" si="1"/>
        <v>4.1500000000000002E-2</v>
      </c>
    </row>
    <row r="22" spans="2:29" x14ac:dyDescent="0.25">
      <c r="B22">
        <v>5</v>
      </c>
      <c r="C22">
        <v>0.5</v>
      </c>
      <c r="D22">
        <v>1004</v>
      </c>
      <c r="E22">
        <f t="shared" si="2"/>
        <v>1.004E-2</v>
      </c>
      <c r="F22">
        <f>D22/10000</f>
        <v>0.1004</v>
      </c>
      <c r="G22">
        <f t="shared" si="3"/>
        <v>0.20080000000000001</v>
      </c>
      <c r="H22">
        <f t="shared" si="4"/>
        <v>2.008</v>
      </c>
      <c r="I22">
        <f>SQRT(C22)</f>
        <v>0.70710678118654757</v>
      </c>
      <c r="J22">
        <v>39.07</v>
      </c>
      <c r="K22">
        <f>G22/J22</f>
        <v>5.1394932173022779E-3</v>
      </c>
      <c r="L22">
        <f>(G22^2*C22)/((J22-G22)*J22)</f>
        <v>1.3275424218073663E-5</v>
      </c>
      <c r="M22">
        <f t="shared" si="5"/>
        <v>1.3275424218073663E-2</v>
      </c>
      <c r="N22">
        <v>5</v>
      </c>
      <c r="O22">
        <v>0.4</v>
      </c>
      <c r="P22">
        <v>41300</v>
      </c>
      <c r="Q22">
        <f t="shared" si="6"/>
        <v>0.41299999999999998</v>
      </c>
      <c r="R22">
        <v>4.13</v>
      </c>
      <c r="S22">
        <f t="shared" si="7"/>
        <v>10.324999999999999</v>
      </c>
      <c r="T22">
        <f t="shared" si="8"/>
        <v>103.25</v>
      </c>
      <c r="U22">
        <f>SQRT(O22)</f>
        <v>0.63245553203367588</v>
      </c>
      <c r="V22">
        <v>10.920999999999999</v>
      </c>
      <c r="W22">
        <f>S22/V22</f>
        <v>0.94542624301803868</v>
      </c>
      <c r="X22">
        <v>13</v>
      </c>
      <c r="Y22">
        <v>2073</v>
      </c>
      <c r="Z22">
        <f t="shared" si="0"/>
        <v>0.20730000000000001</v>
      </c>
      <c r="AB22">
        <v>445</v>
      </c>
      <c r="AC22">
        <f t="shared" si="1"/>
        <v>4.4499999999999998E-2</v>
      </c>
    </row>
    <row r="23" spans="2:29" x14ac:dyDescent="0.25">
      <c r="B23" s="3" t="s">
        <v>16</v>
      </c>
      <c r="L23">
        <f>AVERAGE(L18:L22)</f>
        <v>1.4808615514162846E-5</v>
      </c>
      <c r="M23">
        <f t="shared" si="5"/>
        <v>1.4808615514162847E-2</v>
      </c>
      <c r="N23" s="3" t="s">
        <v>16</v>
      </c>
      <c r="S23" s="5">
        <f>AVERAGE(S18:S22)</f>
        <v>10.828749999999999</v>
      </c>
      <c r="T23" s="5">
        <f>S23*10</f>
        <v>108.28749999999999</v>
      </c>
      <c r="W23">
        <f>AVERAGE(W18:W22)</f>
        <v>0.99155297133962106</v>
      </c>
      <c r="X23">
        <v>14</v>
      </c>
      <c r="Y23">
        <v>1929</v>
      </c>
      <c r="Z23">
        <f t="shared" si="0"/>
        <v>0.19289999999999999</v>
      </c>
      <c r="AB23">
        <v>474</v>
      </c>
      <c r="AC23">
        <f t="shared" si="1"/>
        <v>4.7399999999999998E-2</v>
      </c>
    </row>
    <row r="24" spans="2:29" x14ac:dyDescent="0.25">
      <c r="B24" s="3" t="s">
        <v>23</v>
      </c>
      <c r="L24">
        <f>STDEVP(L18:L22)</f>
        <v>9.5033364290086707E-7</v>
      </c>
      <c r="M24">
        <f t="shared" si="5"/>
        <v>9.5033364290086702E-4</v>
      </c>
      <c r="N24" s="3" t="s">
        <v>23</v>
      </c>
      <c r="W24">
        <f>STDEVP(W18:W22)</f>
        <v>6.0300778066235336E-2</v>
      </c>
      <c r="X24">
        <v>15</v>
      </c>
      <c r="Y24">
        <v>1851</v>
      </c>
      <c r="Z24">
        <f t="shared" si="0"/>
        <v>0.18509999999999999</v>
      </c>
      <c r="AB24">
        <v>505</v>
      </c>
      <c r="AC24">
        <f t="shared" si="1"/>
        <v>5.0500000000000003E-2</v>
      </c>
    </row>
    <row r="25" spans="2:29" x14ac:dyDescent="0.25">
      <c r="B25" s="3" t="s">
        <v>22</v>
      </c>
      <c r="L25">
        <f>_xlfn.STDEV.S(L18:L22)</f>
        <v>1.0625053134156747E-6</v>
      </c>
      <c r="M25">
        <f t="shared" si="5"/>
        <v>1.0625053134156748E-3</v>
      </c>
      <c r="N25" s="3" t="s">
        <v>22</v>
      </c>
      <c r="S25">
        <f>_xlfn.STDEV.S(S18:S22)</f>
        <v>0.73627546645260444</v>
      </c>
      <c r="W25">
        <f>_xlfn.STDEV.S(W18:W22)</f>
        <v>6.7418319426115272E-2</v>
      </c>
      <c r="X25">
        <v>16</v>
      </c>
      <c r="Y25">
        <v>1670</v>
      </c>
      <c r="Z25">
        <f t="shared" si="0"/>
        <v>0.16700000000000001</v>
      </c>
      <c r="AB25">
        <v>536</v>
      </c>
      <c r="AC25">
        <f t="shared" si="1"/>
        <v>5.3600000000000002E-2</v>
      </c>
    </row>
    <row r="26" spans="2:29" x14ac:dyDescent="0.25">
      <c r="B26" s="4" t="s">
        <v>24</v>
      </c>
      <c r="L26">
        <f>L25/(SQRT(5))</f>
        <v>4.7516682145043359E-7</v>
      </c>
      <c r="M26">
        <f t="shared" si="5"/>
        <v>4.7516682145043356E-4</v>
      </c>
      <c r="N26" s="4" t="s">
        <v>24</v>
      </c>
      <c r="S26" s="5">
        <f>S25/SQRT(5)</f>
        <v>0.32927239863067786</v>
      </c>
      <c r="T26" s="5">
        <f>S26*100</f>
        <v>32.92723986306779</v>
      </c>
      <c r="W26">
        <f>W25/(SQRT(5))</f>
        <v>3.0150389033117671E-2</v>
      </c>
      <c r="X26">
        <v>17</v>
      </c>
      <c r="Y26">
        <v>1463</v>
      </c>
      <c r="Z26">
        <f t="shared" si="0"/>
        <v>0.14630000000000001</v>
      </c>
      <c r="AB26">
        <v>560</v>
      </c>
      <c r="AC26">
        <f t="shared" si="1"/>
        <v>5.6000000000000001E-2</v>
      </c>
    </row>
    <row r="27" spans="2:29" x14ac:dyDescent="0.25">
      <c r="X27">
        <v>18</v>
      </c>
      <c r="Y27">
        <v>1330</v>
      </c>
      <c r="Z27">
        <f t="shared" si="0"/>
        <v>0.13300000000000001</v>
      </c>
      <c r="AB27">
        <v>590</v>
      </c>
      <c r="AC27">
        <f t="shared" si="1"/>
        <v>5.8999999999999997E-2</v>
      </c>
    </row>
    <row r="28" spans="2:29" x14ac:dyDescent="0.25">
      <c r="R28" s="3" t="s">
        <v>26</v>
      </c>
      <c r="S28" s="3" t="s">
        <v>27</v>
      </c>
      <c r="X28">
        <v>19</v>
      </c>
      <c r="Y28">
        <v>1175</v>
      </c>
      <c r="Z28">
        <f t="shared" si="0"/>
        <v>0.11749999999999999</v>
      </c>
      <c r="AB28">
        <v>618</v>
      </c>
      <c r="AC28">
        <f t="shared" si="1"/>
        <v>6.1800000000000001E-2</v>
      </c>
    </row>
    <row r="29" spans="2:29" x14ac:dyDescent="0.25">
      <c r="R29">
        <f t="array" ref="R29:S30">LINEST(S18:S22,U18:U22,1,1)</f>
        <v>-0.41091225158304828</v>
      </c>
      <c r="S29">
        <v>10.921094812818572</v>
      </c>
      <c r="X29">
        <v>20</v>
      </c>
      <c r="Y29">
        <v>1054</v>
      </c>
      <c r="Z29">
        <f t="shared" si="0"/>
        <v>0.10539999999999999</v>
      </c>
      <c r="AB29">
        <v>650</v>
      </c>
      <c r="AC29">
        <f t="shared" si="1"/>
        <v>6.5000000000000002E-2</v>
      </c>
    </row>
    <row r="30" spans="2:29" x14ac:dyDescent="0.25">
      <c r="Q30" s="4" t="s">
        <v>25</v>
      </c>
      <c r="R30">
        <v>1.6930039049326142</v>
      </c>
      <c r="S30">
        <v>0.53528917588589464</v>
      </c>
      <c r="X30">
        <v>21</v>
      </c>
      <c r="Y30">
        <v>1098</v>
      </c>
      <c r="Z30">
        <f t="shared" si="0"/>
        <v>0.10979999999999999</v>
      </c>
      <c r="AB30">
        <v>715</v>
      </c>
      <c r="AC30">
        <f t="shared" si="1"/>
        <v>7.1499999999999994E-2</v>
      </c>
    </row>
    <row r="31" spans="2:29" x14ac:dyDescent="0.25">
      <c r="X31">
        <v>22</v>
      </c>
      <c r="Y31">
        <v>1187</v>
      </c>
      <c r="Z31">
        <f t="shared" si="0"/>
        <v>0.1187</v>
      </c>
      <c r="AB31">
        <v>809</v>
      </c>
      <c r="AC31">
        <f t="shared" si="1"/>
        <v>8.09E-2</v>
      </c>
    </row>
    <row r="32" spans="2:29" x14ac:dyDescent="0.25">
      <c r="X32">
        <v>23</v>
      </c>
      <c r="Y32">
        <v>1280</v>
      </c>
      <c r="Z32">
        <f t="shared" si="0"/>
        <v>0.128</v>
      </c>
      <c r="AB32">
        <v>875</v>
      </c>
      <c r="AC32">
        <f t="shared" si="1"/>
        <v>8.7499999999999994E-2</v>
      </c>
    </row>
    <row r="33" spans="19:29" x14ac:dyDescent="0.25">
      <c r="X33">
        <v>24</v>
      </c>
      <c r="Y33">
        <v>1380</v>
      </c>
      <c r="Z33">
        <f t="shared" si="0"/>
        <v>0.13800000000000001</v>
      </c>
      <c r="AB33">
        <v>969</v>
      </c>
      <c r="AC33">
        <f t="shared" si="1"/>
        <v>9.69E-2</v>
      </c>
    </row>
    <row r="34" spans="19:29" x14ac:dyDescent="0.25">
      <c r="X34">
        <v>25</v>
      </c>
      <c r="Y34">
        <v>1471</v>
      </c>
      <c r="Z34">
        <f t="shared" si="0"/>
        <v>0.14710000000000001</v>
      </c>
      <c r="AB34">
        <v>1048</v>
      </c>
      <c r="AC34">
        <f t="shared" si="1"/>
        <v>0.1048</v>
      </c>
    </row>
    <row r="35" spans="19:29" x14ac:dyDescent="0.25">
      <c r="X35">
        <v>26</v>
      </c>
      <c r="Y35">
        <v>1554</v>
      </c>
      <c r="Z35">
        <f t="shared" si="0"/>
        <v>0.15540000000000001</v>
      </c>
      <c r="AB35">
        <v>1130</v>
      </c>
      <c r="AC35">
        <f t="shared" si="1"/>
        <v>0.113</v>
      </c>
    </row>
    <row r="36" spans="19:29" x14ac:dyDescent="0.25">
      <c r="X36">
        <v>27</v>
      </c>
      <c r="Y36">
        <v>1644</v>
      </c>
      <c r="Z36">
        <f t="shared" si="0"/>
        <v>0.16439999999999999</v>
      </c>
      <c r="AB36">
        <v>1216</v>
      </c>
      <c r="AC36">
        <f t="shared" si="1"/>
        <v>0.1216</v>
      </c>
    </row>
    <row r="37" spans="19:29" x14ac:dyDescent="0.25">
      <c r="X37">
        <v>28</v>
      </c>
      <c r="Y37">
        <v>1730</v>
      </c>
      <c r="Z37">
        <f t="shared" si="0"/>
        <v>0.17299999999999999</v>
      </c>
      <c r="AB37">
        <v>1289</v>
      </c>
      <c r="AC37">
        <f t="shared" si="1"/>
        <v>0.12889999999999999</v>
      </c>
    </row>
    <row r="38" spans="19:29" x14ac:dyDescent="0.25">
      <c r="X38">
        <v>29</v>
      </c>
      <c r="Y38">
        <v>1823</v>
      </c>
      <c r="Z38">
        <f t="shared" ref="Z38" si="9">Y38/10000</f>
        <v>0.18229999999999999</v>
      </c>
      <c r="AB38">
        <v>1388</v>
      </c>
      <c r="AC38">
        <f t="shared" ref="AC38" si="10">AB38/10000</f>
        <v>0.13880000000000001</v>
      </c>
    </row>
    <row r="39" spans="19:29" x14ac:dyDescent="0.25">
      <c r="X39">
        <v>30</v>
      </c>
      <c r="Y39">
        <v>1910</v>
      </c>
      <c r="Z39">
        <f>Y39/10000</f>
        <v>0.191</v>
      </c>
      <c r="AB39">
        <v>1459</v>
      </c>
      <c r="AC39">
        <f>AB39/10000</f>
        <v>0.1459</v>
      </c>
    </row>
    <row r="44" spans="19:29" x14ac:dyDescent="0.25">
      <c r="S44" t="s">
        <v>29</v>
      </c>
    </row>
    <row r="45" spans="19:29" x14ac:dyDescent="0.25">
      <c r="S45">
        <f>149.9-108.28</f>
        <v>41.620000000000005</v>
      </c>
    </row>
    <row r="46" spans="19:29" x14ac:dyDescent="0.25">
      <c r="S46">
        <f>41.62/149.9</f>
        <v>0.2776517678452301</v>
      </c>
      <c r="T46">
        <f>S46*100</f>
        <v>27.76517678452301</v>
      </c>
    </row>
    <row r="49" spans="5:20" x14ac:dyDescent="0.25">
      <c r="S49" t="s">
        <v>30</v>
      </c>
    </row>
    <row r="50" spans="5:20" x14ac:dyDescent="0.25">
      <c r="S50">
        <f>0.0145-0.0174</f>
        <v>-2.8999999999999981E-3</v>
      </c>
    </row>
    <row r="51" spans="5:20" x14ac:dyDescent="0.25">
      <c r="S51">
        <f>0.0029/0.0174</f>
        <v>0.16666666666666666</v>
      </c>
      <c r="T51">
        <f>S51*100</f>
        <v>16.666666666666664</v>
      </c>
    </row>
    <row r="56" spans="5:20" x14ac:dyDescent="0.25">
      <c r="E56" s="6" t="s">
        <v>33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2022-02-11T12:47:26Z</dcterms:modified>
</cp:coreProperties>
</file>